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drawings/drawing5.xml" ContentType="application/vnd.openxmlformats-officedocument.drawing+xml"/>
  <Override PartName="/xl/tables/table5.xml" ContentType="application/vnd.openxmlformats-officedocument.spreadsheetml.table+xml"/>
  <Override PartName="/xl/comments2.xml" ContentType="application/vnd.openxmlformats-officedocument.spreadsheetml.comments+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codeName="ThisWorkbook"/>
  <mc:AlternateContent xmlns:mc="http://schemas.openxmlformats.org/markup-compatibility/2006">
    <mc:Choice Requires="x15">
      <x15ac:absPath xmlns:x15ac="http://schemas.microsoft.com/office/spreadsheetml/2010/11/ac" url="C:\Users\Laptop2\Desktop\Post to Drafts for Patty\"/>
    </mc:Choice>
  </mc:AlternateContent>
  <xr:revisionPtr revIDLastSave="0" documentId="8_{9C4F4D62-545F-48C3-AB38-D9A32BE35F59}" xr6:coauthVersionLast="45" xr6:coauthVersionMax="45" xr10:uidLastSave="{00000000-0000-0000-0000-000000000000}"/>
  <bookViews>
    <workbookView xWindow="29760" yWindow="960" windowWidth="27000" windowHeight="14160" tabRatio="926" xr2:uid="{00000000-000D-0000-FFFF-FFFF00000000}"/>
  </bookViews>
  <sheets>
    <sheet name="Costing Questions" sheetId="67" r:id="rId1"/>
    <sheet name="Project Specific Questions" sheetId="73" r:id="rId2"/>
    <sheet name="Security Estimate Calcs" sheetId="71" r:id="rId3"/>
    <sheet name="Quantity Calcs" sheetId="68" r:id="rId4"/>
    <sheet name="Unit Rate Calcs" sheetId="70" r:id="rId5"/>
    <sheet name="SYS_ Change Log" sheetId="55" state="hidden" r:id="rId6"/>
    <sheet name="SYS_ Gen" sheetId="47" state="hidden" r:id="rId7"/>
  </sheets>
  <definedNames>
    <definedName name="_ftnref1" localSheetId="2">'Security Estimate Calcs'!$E$3</definedName>
    <definedName name="_xlnm.Print_Area" localSheetId="0">'Costing Questions'!$A$1:$J$47</definedName>
    <definedName name="_xlnm.Print_Area" localSheetId="3">'Quantity Calcs'!$A$1:$Q$87</definedName>
    <definedName name="_xlnm.Print_Area" localSheetId="2">'Security Estimate Calcs'!$A$1:$L$89</definedName>
    <definedName name="_xlnm.Print_Titles" localSheetId="0">'Costing Questions'!$7:$7</definedName>
    <definedName name="_xlnm.Print_Titles" localSheetId="1">'Project Specific Questions'!$6:$6</definedName>
    <definedName name="_xlnm.Print_Titles" localSheetId="3">'Quantity Calcs'!$8:$8</definedName>
    <definedName name="_xlnm.Print_Titles" localSheetId="2">'Security Estimate Calcs'!$6:$6</definedName>
    <definedName name="_xlnm.Print_Titles" localSheetId="4">'Unit Rate Calcs'!$7:$7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3" i="68" l="1"/>
  <c r="K88" i="71" l="1"/>
  <c r="K74" i="70" l="1"/>
  <c r="L74" i="70" l="1"/>
  <c r="O74" i="70"/>
  <c r="K91" i="70"/>
  <c r="L91" i="70"/>
  <c r="P27" i="70"/>
  <c r="C28" i="70"/>
  <c r="C29" i="70" s="1"/>
  <c r="C30" i="70" s="1"/>
  <c r="C31" i="70" s="1"/>
  <c r="C32" i="70" s="1"/>
  <c r="C33" i="70" s="1"/>
  <c r="C34" i="70" s="1"/>
  <c r="C35" i="70" s="1"/>
  <c r="C36" i="70" s="1"/>
  <c r="A1" i="67"/>
  <c r="G5" i="67" l="1"/>
  <c r="K62" i="68" l="1"/>
  <c r="O62" i="68" s="1"/>
  <c r="H51" i="73" l="1"/>
  <c r="O114" i="70"/>
  <c r="G114" i="70"/>
  <c r="F114" i="70"/>
  <c r="E113" i="70"/>
  <c r="D113" i="70"/>
  <c r="H86" i="71"/>
  <c r="E86" i="71"/>
  <c r="F86" i="71"/>
  <c r="D85" i="71"/>
  <c r="H30" i="73"/>
  <c r="H33" i="73"/>
  <c r="H36" i="73"/>
  <c r="K86" i="68" l="1"/>
  <c r="O86" i="68" s="1"/>
  <c r="G86" i="71" s="1"/>
  <c r="L36" i="70"/>
  <c r="P36" i="70" s="1"/>
  <c r="M114" i="70" s="1"/>
  <c r="P114" i="70" s="1"/>
  <c r="I86" i="71" s="1"/>
  <c r="H9" i="73"/>
  <c r="L47" i="68" l="1"/>
  <c r="E16" i="68"/>
  <c r="L29" i="70" l="1"/>
  <c r="E25" i="68"/>
  <c r="J34" i="68"/>
  <c r="A1" i="55" l="1"/>
  <c r="A1" i="47"/>
  <c r="A1" i="71"/>
  <c r="A1" i="68"/>
  <c r="A1" i="73"/>
  <c r="A1" i="70"/>
  <c r="P29" i="70"/>
  <c r="M74" i="70" s="1"/>
  <c r="P74" i="70" s="1"/>
  <c r="J70" i="68" l="1"/>
  <c r="J74" i="68"/>
  <c r="J72" i="68"/>
  <c r="F65" i="71"/>
  <c r="J76" i="68"/>
  <c r="M11" i="70"/>
  <c r="M12" i="70"/>
  <c r="L20" i="70"/>
  <c r="L21" i="70"/>
  <c r="P10" i="70"/>
  <c r="K90" i="70" l="1"/>
  <c r="P26" i="70"/>
  <c r="M25" i="70"/>
  <c r="P25" i="70" s="1"/>
  <c r="P24" i="70"/>
  <c r="M91" i="70"/>
  <c r="P91" i="70" s="1"/>
  <c r="P23" i="70"/>
  <c r="M88" i="70" s="1"/>
  <c r="P88" i="70" s="1"/>
  <c r="P51" i="70"/>
  <c r="P12" i="70" l="1"/>
  <c r="M67" i="70" s="1"/>
  <c r="M13" i="70" l="1"/>
  <c r="P11" i="70"/>
  <c r="L34" i="70" l="1"/>
  <c r="P34" i="70" s="1"/>
  <c r="M102" i="70" s="1"/>
  <c r="P102" i="70" s="1"/>
  <c r="L33" i="70"/>
  <c r="P33" i="70" s="1"/>
  <c r="M100" i="70" s="1"/>
  <c r="P100" i="70" s="1"/>
  <c r="L32" i="70"/>
  <c r="P32" i="70" s="1"/>
  <c r="M98" i="70" s="1"/>
  <c r="P98" i="70" s="1"/>
  <c r="K45" i="68" l="1"/>
  <c r="K46" i="68" s="1"/>
  <c r="J45" i="68"/>
  <c r="K41" i="68"/>
  <c r="K20" i="70"/>
  <c r="L15" i="70"/>
  <c r="L17" i="70"/>
  <c r="L16" i="70"/>
  <c r="H78" i="71"/>
  <c r="H80" i="71"/>
  <c r="H82" i="71"/>
  <c r="H84" i="71"/>
  <c r="O84" i="68"/>
  <c r="O78" i="68"/>
  <c r="O80" i="68"/>
  <c r="J42" i="68" l="1"/>
  <c r="J41" i="68"/>
  <c r="K21" i="70"/>
  <c r="L56" i="68" l="1"/>
  <c r="L53" i="68"/>
  <c r="K47" i="68" l="1"/>
  <c r="O47" i="68" s="1"/>
  <c r="K52" i="68"/>
  <c r="O52" i="68" s="1"/>
  <c r="K48" i="68"/>
  <c r="K49" i="68"/>
  <c r="O49" i="68" s="1"/>
  <c r="H54" i="71"/>
  <c r="G82" i="70"/>
  <c r="F82" i="70"/>
  <c r="F54" i="71"/>
  <c r="E54" i="71"/>
  <c r="H88" i="70"/>
  <c r="H87" i="70"/>
  <c r="M64" i="70"/>
  <c r="P64" i="70" s="1"/>
  <c r="M63" i="70"/>
  <c r="P63" i="70" s="1"/>
  <c r="M62" i="70"/>
  <c r="P62" i="70" s="1"/>
  <c r="K58" i="70"/>
  <c r="K46" i="70"/>
  <c r="K49" i="70"/>
  <c r="K48" i="70"/>
  <c r="K43" i="70"/>
  <c r="K42" i="70"/>
  <c r="K41" i="70"/>
  <c r="K40" i="70"/>
  <c r="M56" i="68" l="1"/>
  <c r="M53" i="68"/>
  <c r="M52" i="70"/>
  <c r="P52" i="70" s="1"/>
  <c r="P17" i="70" l="1"/>
  <c r="F41" i="70" l="1"/>
  <c r="G41" i="70"/>
  <c r="H41" i="70"/>
  <c r="O41" i="70"/>
  <c r="M22" i="70" l="1"/>
  <c r="P22" i="70" s="1"/>
  <c r="L87" i="70" s="1"/>
  <c r="P13" i="70"/>
  <c r="P16" i="70"/>
  <c r="P15" i="70"/>
  <c r="L48" i="70" l="1"/>
  <c r="P48" i="70" s="1"/>
  <c r="L49" i="70"/>
  <c r="P49" i="70" s="1"/>
  <c r="M18" i="70"/>
  <c r="P18" i="70" s="1"/>
  <c r="L41" i="70" s="1"/>
  <c r="P41" i="70" s="1"/>
  <c r="L43" i="70"/>
  <c r="L42" i="70"/>
  <c r="L58" i="70"/>
  <c r="P58" i="70" s="1"/>
  <c r="L46" i="70"/>
  <c r="P46" i="70" s="1"/>
  <c r="L56" i="70"/>
  <c r="P56" i="70" s="1"/>
  <c r="K11" i="68"/>
  <c r="O11" i="68" s="1"/>
  <c r="L51" i="68"/>
  <c r="M52" i="68" s="1"/>
  <c r="K14" i="68" l="1"/>
  <c r="K13" i="68"/>
  <c r="K15" i="68"/>
  <c r="K12" i="68"/>
  <c r="L40" i="70"/>
  <c r="P40" i="70" s="1"/>
  <c r="K27" i="68"/>
  <c r="T27" i="68"/>
  <c r="K55" i="70" s="1"/>
  <c r="L55" i="70" s="1"/>
  <c r="P55" i="70" s="1"/>
  <c r="M34" i="68"/>
  <c r="K33" i="68" l="1"/>
  <c r="L36" i="68"/>
  <c r="M33" i="68"/>
  <c r="J63" i="68"/>
  <c r="K42" i="68" l="1"/>
  <c r="K76" i="68"/>
  <c r="D75" i="71"/>
  <c r="J24" i="68" l="1"/>
  <c r="J23" i="68"/>
  <c r="J62" i="68"/>
  <c r="J46" i="68"/>
  <c r="J30" i="68"/>
  <c r="J27" i="68"/>
  <c r="J21" i="68"/>
  <c r="J20" i="68"/>
  <c r="J18" i="68"/>
  <c r="J12" i="68"/>
  <c r="J11" i="68"/>
  <c r="M43" i="70" l="1"/>
  <c r="P43" i="70" s="1"/>
  <c r="O43" i="70"/>
  <c r="M42" i="70"/>
  <c r="P42" i="70" s="1"/>
  <c r="H43" i="70"/>
  <c r="G43" i="70"/>
  <c r="F43" i="70"/>
  <c r="K34" i="68"/>
  <c r="L34" i="68" s="1"/>
  <c r="L32" i="68"/>
  <c r="H14" i="71"/>
  <c r="F14" i="71"/>
  <c r="E14" i="71"/>
  <c r="K32" i="68" l="1"/>
  <c r="O34" i="68"/>
  <c r="K79" i="70" l="1"/>
  <c r="L79" i="70" s="1"/>
  <c r="O104" i="70"/>
  <c r="K92" i="70"/>
  <c r="L92" i="70" s="1"/>
  <c r="K67" i="70"/>
  <c r="L67" i="70" s="1"/>
  <c r="M21" i="70"/>
  <c r="H67" i="70"/>
  <c r="P21" i="70"/>
  <c r="K39" i="68"/>
  <c r="O39" i="68" s="1"/>
  <c r="I14" i="71"/>
  <c r="P20" i="70"/>
  <c r="P67" i="70" l="1"/>
  <c r="K12" i="73"/>
  <c r="K39" i="73"/>
  <c r="K21" i="73"/>
  <c r="M79" i="70"/>
  <c r="K18" i="68"/>
  <c r="K20" i="68"/>
  <c r="K23" i="68"/>
  <c r="K24" i="68"/>
  <c r="O41" i="68"/>
  <c r="O42" i="68"/>
  <c r="K70" i="68"/>
  <c r="O70" i="68" s="1"/>
  <c r="K72" i="68"/>
  <c r="O72" i="68" s="1"/>
  <c r="K74" i="68"/>
  <c r="O74" i="68" s="1"/>
  <c r="O76" i="68"/>
  <c r="O45" i="68" l="1"/>
  <c r="K66" i="68" l="1"/>
  <c r="K65" i="68"/>
  <c r="F84" i="71"/>
  <c r="E84" i="71"/>
  <c r="D83" i="71"/>
  <c r="F82" i="71"/>
  <c r="E82" i="71"/>
  <c r="D81" i="71"/>
  <c r="F80" i="71"/>
  <c r="E80" i="71"/>
  <c r="D79" i="71"/>
  <c r="F78" i="71"/>
  <c r="E78" i="71"/>
  <c r="D77" i="71"/>
  <c r="F76" i="71"/>
  <c r="E76" i="71"/>
  <c r="F74" i="71"/>
  <c r="E74" i="71"/>
  <c r="E73" i="71"/>
  <c r="D73" i="71"/>
  <c r="F72" i="71"/>
  <c r="E72" i="71"/>
  <c r="E71" i="71"/>
  <c r="D71" i="71"/>
  <c r="F70" i="71"/>
  <c r="E70" i="71"/>
  <c r="E69" i="71"/>
  <c r="D69" i="71"/>
  <c r="D68" i="71"/>
  <c r="F67" i="71"/>
  <c r="F64" i="71"/>
  <c r="F63" i="71"/>
  <c r="F62" i="71"/>
  <c r="E61" i="71"/>
  <c r="D61" i="71"/>
  <c r="F60" i="71"/>
  <c r="F59" i="71"/>
  <c r="E58" i="71"/>
  <c r="D58" i="71"/>
  <c r="F57" i="71"/>
  <c r="F56" i="71"/>
  <c r="F55" i="71"/>
  <c r="F53" i="71"/>
  <c r="F52" i="71"/>
  <c r="F51" i="71"/>
  <c r="E51" i="71"/>
  <c r="E50" i="71"/>
  <c r="D50" i="71"/>
  <c r="F49" i="71"/>
  <c r="E49" i="71"/>
  <c r="F66" i="71"/>
  <c r="F48" i="71"/>
  <c r="E48" i="71"/>
  <c r="F47" i="71"/>
  <c r="E47" i="71"/>
  <c r="F46" i="71"/>
  <c r="E46" i="71"/>
  <c r="F45" i="71"/>
  <c r="E45" i="71"/>
  <c r="E44" i="71"/>
  <c r="D44" i="71"/>
  <c r="D43" i="71"/>
  <c r="F41" i="71"/>
  <c r="E41" i="71"/>
  <c r="F40" i="71"/>
  <c r="E40" i="71"/>
  <c r="E39" i="71"/>
  <c r="D39" i="71"/>
  <c r="F38" i="71"/>
  <c r="E38" i="71"/>
  <c r="E37" i="71"/>
  <c r="D37" i="71"/>
  <c r="D36" i="71"/>
  <c r="F35" i="71"/>
  <c r="E35" i="71"/>
  <c r="F34" i="71"/>
  <c r="E34" i="71"/>
  <c r="F33" i="71"/>
  <c r="E33" i="71"/>
  <c r="F32" i="71"/>
  <c r="E32" i="71"/>
  <c r="F31" i="71"/>
  <c r="E31" i="71"/>
  <c r="E30" i="71"/>
  <c r="D30" i="71"/>
  <c r="F29" i="71"/>
  <c r="E29" i="71"/>
  <c r="E28" i="71"/>
  <c r="D28" i="71"/>
  <c r="F27" i="71"/>
  <c r="E27" i="71"/>
  <c r="F26" i="71"/>
  <c r="E26" i="71"/>
  <c r="E25" i="71"/>
  <c r="D25" i="71"/>
  <c r="D24" i="71"/>
  <c r="C24" i="71"/>
  <c r="F23" i="71"/>
  <c r="E23" i="71"/>
  <c r="F22" i="71"/>
  <c r="E22" i="71"/>
  <c r="E21" i="71"/>
  <c r="D21" i="71"/>
  <c r="F20" i="71"/>
  <c r="E20" i="71"/>
  <c r="F19" i="71"/>
  <c r="E19" i="71"/>
  <c r="E18" i="71"/>
  <c r="D18" i="71"/>
  <c r="F17" i="71"/>
  <c r="E17" i="71"/>
  <c r="E16" i="71"/>
  <c r="D16" i="71"/>
  <c r="D15" i="71"/>
  <c r="C15" i="71"/>
  <c r="E9" i="71"/>
  <c r="D9" i="71"/>
  <c r="D8" i="71"/>
  <c r="C8" i="71"/>
  <c r="F13" i="71"/>
  <c r="E13" i="71"/>
  <c r="F12" i="71"/>
  <c r="E12" i="71"/>
  <c r="F11" i="71"/>
  <c r="E11" i="71"/>
  <c r="E10" i="71"/>
  <c r="F10" i="71"/>
  <c r="F112" i="70"/>
  <c r="E111" i="70"/>
  <c r="D111" i="70"/>
  <c r="F110" i="70"/>
  <c r="E109" i="70"/>
  <c r="D109" i="70"/>
  <c r="F108" i="70"/>
  <c r="E107" i="70"/>
  <c r="D107" i="70"/>
  <c r="E105" i="70"/>
  <c r="D105" i="70"/>
  <c r="F106" i="70"/>
  <c r="F104" i="70"/>
  <c r="E103" i="70"/>
  <c r="D103" i="70"/>
  <c r="F102" i="70"/>
  <c r="F101" i="70"/>
  <c r="E101" i="70"/>
  <c r="F100" i="70"/>
  <c r="F99" i="70"/>
  <c r="E99" i="70"/>
  <c r="F98" i="70"/>
  <c r="F97" i="70"/>
  <c r="E97" i="70"/>
  <c r="E96" i="70"/>
  <c r="D96" i="70"/>
  <c r="F89" i="70"/>
  <c r="E89" i="70"/>
  <c r="F86" i="70"/>
  <c r="E86" i="70"/>
  <c r="F79" i="70"/>
  <c r="F78" i="70"/>
  <c r="E78" i="70"/>
  <c r="F77" i="70"/>
  <c r="F76" i="70"/>
  <c r="F75" i="70"/>
  <c r="F74" i="70"/>
  <c r="F73" i="70"/>
  <c r="F72" i="70"/>
  <c r="E72" i="70"/>
  <c r="E71" i="70"/>
  <c r="D71" i="70"/>
  <c r="F70" i="70"/>
  <c r="F69" i="70"/>
  <c r="F68" i="70"/>
  <c r="E68" i="70"/>
  <c r="F67" i="70"/>
  <c r="F66" i="70"/>
  <c r="E66" i="70"/>
  <c r="E65" i="70"/>
  <c r="D65" i="70"/>
  <c r="F64" i="70"/>
  <c r="F63" i="70"/>
  <c r="F62" i="70"/>
  <c r="F61" i="70"/>
  <c r="F60" i="70"/>
  <c r="F59" i="70"/>
  <c r="E59" i="70"/>
  <c r="F58" i="70"/>
  <c r="F57" i="70"/>
  <c r="E57" i="70"/>
  <c r="F56" i="70"/>
  <c r="F55" i="70"/>
  <c r="F54" i="70"/>
  <c r="E54" i="70"/>
  <c r="E53" i="70"/>
  <c r="D53" i="70"/>
  <c r="F52" i="70"/>
  <c r="F51" i="70"/>
  <c r="F50" i="70"/>
  <c r="E50" i="70"/>
  <c r="F49" i="70"/>
  <c r="F48" i="70"/>
  <c r="F47" i="70"/>
  <c r="E47" i="70"/>
  <c r="F46" i="70"/>
  <c r="F45" i="70"/>
  <c r="E45" i="70"/>
  <c r="E44" i="70"/>
  <c r="D44" i="70"/>
  <c r="F42" i="70"/>
  <c r="F40" i="70"/>
  <c r="F39" i="70"/>
  <c r="F38" i="70"/>
  <c r="E38" i="70"/>
  <c r="E37" i="70"/>
  <c r="D37" i="70"/>
  <c r="H112" i="70"/>
  <c r="G112" i="70"/>
  <c r="H110" i="70"/>
  <c r="G110" i="70"/>
  <c r="H108" i="70"/>
  <c r="G108" i="70"/>
  <c r="H106" i="70"/>
  <c r="G106" i="70"/>
  <c r="G104" i="70"/>
  <c r="H102" i="70"/>
  <c r="G102" i="70"/>
  <c r="H100" i="70"/>
  <c r="G100" i="70"/>
  <c r="H98" i="70"/>
  <c r="G98" i="70"/>
  <c r="H95" i="70"/>
  <c r="G95" i="70"/>
  <c r="H92" i="70"/>
  <c r="G92" i="70"/>
  <c r="G91" i="70"/>
  <c r="H90" i="70"/>
  <c r="G90" i="70"/>
  <c r="G88" i="70"/>
  <c r="G87" i="70"/>
  <c r="H85" i="70"/>
  <c r="G85" i="70"/>
  <c r="H84" i="70"/>
  <c r="G84" i="70"/>
  <c r="G83" i="70"/>
  <c r="H81" i="70"/>
  <c r="G81" i="70"/>
  <c r="H80" i="70"/>
  <c r="G80" i="70"/>
  <c r="H79" i="70"/>
  <c r="G79" i="70"/>
  <c r="H77" i="70"/>
  <c r="G77" i="70"/>
  <c r="G94" i="70"/>
  <c r="G93" i="70"/>
  <c r="G76" i="70"/>
  <c r="H76" i="70"/>
  <c r="H75" i="70"/>
  <c r="G75" i="70"/>
  <c r="G74" i="70"/>
  <c r="H73" i="70"/>
  <c r="G73" i="70"/>
  <c r="H70" i="70"/>
  <c r="G70" i="70"/>
  <c r="H69" i="70"/>
  <c r="G69" i="70"/>
  <c r="G67" i="70"/>
  <c r="H64" i="70"/>
  <c r="G64" i="70"/>
  <c r="H63" i="70"/>
  <c r="G63" i="70"/>
  <c r="H62" i="70"/>
  <c r="G62" i="70"/>
  <c r="H61" i="70"/>
  <c r="G61" i="70"/>
  <c r="H60" i="70"/>
  <c r="G60" i="70"/>
  <c r="H58" i="70"/>
  <c r="G58" i="70"/>
  <c r="H56" i="70"/>
  <c r="G56" i="70"/>
  <c r="H55" i="70"/>
  <c r="G55" i="70"/>
  <c r="H52" i="70"/>
  <c r="G52" i="70"/>
  <c r="H51" i="70"/>
  <c r="G51" i="70"/>
  <c r="H49" i="70"/>
  <c r="G49" i="70"/>
  <c r="H48" i="70"/>
  <c r="G48" i="70"/>
  <c r="H46" i="70"/>
  <c r="G46" i="70"/>
  <c r="H42" i="70"/>
  <c r="G42" i="70"/>
  <c r="H40" i="70"/>
  <c r="G40" i="70"/>
  <c r="H39" i="70"/>
  <c r="G39" i="70"/>
  <c r="O64" i="70" l="1"/>
  <c r="H45" i="73" l="1"/>
  <c r="L35" i="70" s="1"/>
  <c r="P35" i="70" s="1"/>
  <c r="M104" i="70" s="1"/>
  <c r="P104" i="70" s="1"/>
  <c r="I76" i="71" s="1"/>
  <c r="H27" i="73"/>
  <c r="L31" i="70" s="1"/>
  <c r="P31" i="70" s="1"/>
  <c r="M70" i="70" s="1"/>
  <c r="P70" i="70" s="1"/>
  <c r="H18" i="73"/>
  <c r="L30" i="70" s="1"/>
  <c r="P30" i="70" s="1"/>
  <c r="M69" i="70" s="1"/>
  <c r="P69" i="70" s="1"/>
  <c r="P79" i="70"/>
  <c r="M60" i="70"/>
  <c r="P60" i="70" s="1"/>
  <c r="K82" i="70" l="1"/>
  <c r="M80" i="70"/>
  <c r="P80" i="70" s="1"/>
  <c r="M83" i="70"/>
  <c r="P83" i="70" s="1"/>
  <c r="M81" i="70"/>
  <c r="P81" i="70" s="1"/>
  <c r="M84" i="70"/>
  <c r="P84" i="70" s="1"/>
  <c r="M92" i="70"/>
  <c r="P92" i="70" s="1"/>
  <c r="M61" i="70"/>
  <c r="P61" i="70" s="1"/>
  <c r="O112" i="70"/>
  <c r="O110" i="70"/>
  <c r="O108" i="70"/>
  <c r="O106" i="70"/>
  <c r="O102" i="70"/>
  <c r="O100" i="70"/>
  <c r="O98" i="70"/>
  <c r="O95" i="70"/>
  <c r="O92" i="70"/>
  <c r="O91" i="70"/>
  <c r="O90" i="70"/>
  <c r="O88" i="70"/>
  <c r="O87" i="70"/>
  <c r="O85" i="70"/>
  <c r="O84" i="70"/>
  <c r="O83" i="70"/>
  <c r="O81" i="70"/>
  <c r="O80" i="70"/>
  <c r="O79" i="70"/>
  <c r="O77" i="70"/>
  <c r="O94" i="70"/>
  <c r="O93" i="70"/>
  <c r="O76" i="70"/>
  <c r="O75" i="70"/>
  <c r="O73" i="70"/>
  <c r="O70" i="70"/>
  <c r="O69" i="70"/>
  <c r="O67" i="70"/>
  <c r="O63" i="70"/>
  <c r="O62" i="70"/>
  <c r="O61" i="70"/>
  <c r="O60" i="70"/>
  <c r="O58" i="70"/>
  <c r="O56" i="70"/>
  <c r="O55" i="70"/>
  <c r="O52" i="70"/>
  <c r="O51" i="70"/>
  <c r="O49" i="70"/>
  <c r="O48" i="70"/>
  <c r="O46" i="70"/>
  <c r="O42" i="70"/>
  <c r="O40" i="70"/>
  <c r="O39" i="70"/>
  <c r="M75" i="70" l="1"/>
  <c r="M76" i="70"/>
  <c r="P76" i="70" s="1"/>
  <c r="M93" i="70"/>
  <c r="P93" i="70" s="1"/>
  <c r="M94" i="70"/>
  <c r="P94" i="70" s="1"/>
  <c r="I55" i="71"/>
  <c r="I12" i="71"/>
  <c r="I11" i="71"/>
  <c r="H10" i="71"/>
  <c r="H76" i="71"/>
  <c r="H74" i="71"/>
  <c r="H72" i="71"/>
  <c r="H70" i="71"/>
  <c r="H67" i="71"/>
  <c r="H64" i="71"/>
  <c r="H63" i="71"/>
  <c r="H62" i="71"/>
  <c r="H60" i="71"/>
  <c r="H59" i="71"/>
  <c r="H57" i="71"/>
  <c r="H56" i="71"/>
  <c r="H55" i="71"/>
  <c r="H53" i="71"/>
  <c r="H52" i="71"/>
  <c r="H51" i="71"/>
  <c r="H49" i="71"/>
  <c r="H66" i="71"/>
  <c r="H65" i="71"/>
  <c r="H48" i="71"/>
  <c r="H47" i="71"/>
  <c r="H46" i="71"/>
  <c r="H45" i="71"/>
  <c r="H41" i="71"/>
  <c r="H40" i="71"/>
  <c r="H38" i="71"/>
  <c r="H35" i="71"/>
  <c r="H34" i="71"/>
  <c r="H33" i="71"/>
  <c r="H32" i="71"/>
  <c r="H31" i="71"/>
  <c r="H29" i="71"/>
  <c r="H27" i="71"/>
  <c r="H26" i="71"/>
  <c r="H23" i="71"/>
  <c r="H22" i="71"/>
  <c r="H20" i="71"/>
  <c r="H19" i="71"/>
  <c r="H17" i="71"/>
  <c r="H13" i="71"/>
  <c r="H12" i="71"/>
  <c r="H11" i="71"/>
  <c r="L65" i="68"/>
  <c r="I74" i="71"/>
  <c r="I84" i="71"/>
  <c r="I82" i="71"/>
  <c r="I80" i="71"/>
  <c r="I78" i="71"/>
  <c r="I72" i="71"/>
  <c r="I70" i="71"/>
  <c r="I67" i="71"/>
  <c r="I62" i="71"/>
  <c r="I60" i="71"/>
  <c r="I57" i="71"/>
  <c r="I56" i="71"/>
  <c r="I53" i="71"/>
  <c r="I52" i="71"/>
  <c r="I51" i="71"/>
  <c r="I49" i="71"/>
  <c r="I45" i="71"/>
  <c r="I38" i="71"/>
  <c r="I35" i="71"/>
  <c r="I34" i="71"/>
  <c r="I33" i="71"/>
  <c r="I32" i="71"/>
  <c r="I31" i="71"/>
  <c r="I23" i="71"/>
  <c r="I22" i="71"/>
  <c r="I17" i="71"/>
  <c r="I41" i="71"/>
  <c r="G76" i="71"/>
  <c r="I13" i="71"/>
  <c r="I10" i="71"/>
  <c r="I46" i="71"/>
  <c r="G38" i="71"/>
  <c r="O51" i="68"/>
  <c r="K55" i="68" l="1"/>
  <c r="L82" i="70"/>
  <c r="M82" i="70" s="1"/>
  <c r="P82" i="70" s="1"/>
  <c r="I54" i="71" s="1"/>
  <c r="I29" i="71"/>
  <c r="I27" i="71"/>
  <c r="I26" i="71"/>
  <c r="I20" i="71"/>
  <c r="I19" i="71"/>
  <c r="G72" i="71"/>
  <c r="K72" i="71" s="1"/>
  <c r="I64" i="71"/>
  <c r="K38" i="71"/>
  <c r="K76" i="71"/>
  <c r="L75" i="71" s="1"/>
  <c r="I63" i="71"/>
  <c r="G51" i="71"/>
  <c r="K51" i="71" s="1"/>
  <c r="I48" i="71" l="1"/>
  <c r="P75" i="70"/>
  <c r="I47" i="71" s="1"/>
  <c r="I66" i="71"/>
  <c r="I65" i="71"/>
  <c r="O57" i="68" l="1"/>
  <c r="G57" i="71" s="1"/>
  <c r="E52" i="71" l="1"/>
  <c r="F80" i="70"/>
  <c r="G62" i="71"/>
  <c r="K62" i="71" s="1"/>
  <c r="L46" i="68"/>
  <c r="O46" i="68" s="1"/>
  <c r="E53" i="71" l="1"/>
  <c r="F81" i="70"/>
  <c r="O67" i="68"/>
  <c r="G67" i="71" s="1"/>
  <c r="F83" i="70" l="1"/>
  <c r="E55" i="71"/>
  <c r="G10" i="71"/>
  <c r="K10" i="71" s="1"/>
  <c r="E56" i="71" l="1"/>
  <c r="F84" i="70"/>
  <c r="G45" i="71"/>
  <c r="K45" i="71" s="1"/>
  <c r="L63" i="68"/>
  <c r="O63" i="68" s="1"/>
  <c r="L60" i="68" l="1"/>
  <c r="L55" i="68"/>
  <c r="O55" i="68" s="1"/>
  <c r="G46" i="71"/>
  <c r="K46" i="71" s="1"/>
  <c r="E57" i="71"/>
  <c r="F85" i="70"/>
  <c r="G63" i="71"/>
  <c r="K63" i="71" s="1"/>
  <c r="G52" i="71"/>
  <c r="K52" i="71" s="1"/>
  <c r="G55" i="71" l="1"/>
  <c r="K55" i="71" s="1"/>
  <c r="G47" i="71"/>
  <c r="K47" i="71" s="1"/>
  <c r="F87" i="70"/>
  <c r="E59" i="71"/>
  <c r="F88" i="70" l="1"/>
  <c r="E60" i="71"/>
  <c r="O65" i="68" l="1"/>
  <c r="G65" i="71" s="1"/>
  <c r="K65" i="71" s="1"/>
  <c r="E62" i="71"/>
  <c r="F90" i="70"/>
  <c r="G40" i="71"/>
  <c r="G41" i="71"/>
  <c r="K41" i="71" s="1"/>
  <c r="G74" i="71"/>
  <c r="K74" i="71" s="1"/>
  <c r="G80" i="71"/>
  <c r="G78" i="71"/>
  <c r="G70" i="71"/>
  <c r="K70" i="71" s="1"/>
  <c r="O82" i="68"/>
  <c r="G82" i="71" s="1"/>
  <c r="O20" i="68"/>
  <c r="O18" i="68"/>
  <c r="L24" i="68"/>
  <c r="O24" i="68" s="1"/>
  <c r="L12" i="68"/>
  <c r="O12" i="68" s="1"/>
  <c r="U12" i="68" s="1"/>
  <c r="G17" i="71" l="1"/>
  <c r="K17" i="71" s="1"/>
  <c r="U18" i="68"/>
  <c r="G19" i="71"/>
  <c r="K19" i="71" s="1"/>
  <c r="U20" i="68"/>
  <c r="G23" i="71"/>
  <c r="K23" i="71" s="1"/>
  <c r="L13" i="68"/>
  <c r="O13" i="68" s="1"/>
  <c r="U13" i="68" s="1"/>
  <c r="L48" i="68" s="1"/>
  <c r="L68" i="71"/>
  <c r="E65" i="71"/>
  <c r="F93" i="70"/>
  <c r="G49" i="71"/>
  <c r="K30" i="68"/>
  <c r="L30" i="68" s="1"/>
  <c r="K21" i="68"/>
  <c r="O21" i="68" s="1"/>
  <c r="G33" i="71"/>
  <c r="K33" i="71" s="1"/>
  <c r="E63" i="71"/>
  <c r="F91" i="70"/>
  <c r="G11" i="71"/>
  <c r="K11" i="71" s="1"/>
  <c r="L23" i="68"/>
  <c r="O23" i="68" s="1"/>
  <c r="G84" i="71"/>
  <c r="M30" i="68" l="1"/>
  <c r="O30" i="68" s="1"/>
  <c r="O48" i="68"/>
  <c r="G48" i="71" s="1"/>
  <c r="K48" i="71" s="1"/>
  <c r="J49" i="71" s="1"/>
  <c r="L66" i="68"/>
  <c r="O66" i="68" s="1"/>
  <c r="G66" i="71" s="1"/>
  <c r="K66" i="71" s="1"/>
  <c r="G12" i="71"/>
  <c r="K12" i="71" s="1"/>
  <c r="G20" i="71"/>
  <c r="K20" i="71" s="1"/>
  <c r="U21" i="68"/>
  <c r="K64" i="68"/>
  <c r="L14" i="68"/>
  <c r="O14" i="68" s="1"/>
  <c r="U14" i="68" s="1"/>
  <c r="L15" i="68"/>
  <c r="O15" i="68" s="1"/>
  <c r="E66" i="71"/>
  <c r="F94" i="70"/>
  <c r="K36" i="68"/>
  <c r="O36" i="68" s="1"/>
  <c r="O27" i="68"/>
  <c r="E64" i="71"/>
  <c r="F92" i="70"/>
  <c r="G22" i="71"/>
  <c r="K22" i="71" s="1"/>
  <c r="U30" i="68" l="1"/>
  <c r="M32" i="68"/>
  <c r="O32" i="68" s="1"/>
  <c r="G29" i="71"/>
  <c r="K29" i="71" s="1"/>
  <c r="U15" i="68"/>
  <c r="G14" i="71"/>
  <c r="K14" i="71" s="1"/>
  <c r="G13" i="71"/>
  <c r="K13" i="71" s="1"/>
  <c r="K28" i="68"/>
  <c r="U27" i="68"/>
  <c r="G35" i="71"/>
  <c r="K35" i="71" s="1"/>
  <c r="L15" i="71"/>
  <c r="L33" i="68"/>
  <c r="O33" i="68" s="1"/>
  <c r="G26" i="71"/>
  <c r="K26" i="71" s="1"/>
  <c r="E67" i="71"/>
  <c r="F95" i="70"/>
  <c r="M60" i="68" l="1"/>
  <c r="L54" i="68" s="1"/>
  <c r="L8" i="71"/>
  <c r="K35" i="68"/>
  <c r="O35" i="68" s="1"/>
  <c r="G34" i="71" s="1"/>
  <c r="K34" i="71" s="1"/>
  <c r="O28" i="68"/>
  <c r="G27" i="71" s="1"/>
  <c r="K27" i="71" s="1"/>
  <c r="M64" i="68"/>
  <c r="G32" i="71"/>
  <c r="K32" i="71" s="1"/>
  <c r="L64" i="68"/>
  <c r="G31" i="71"/>
  <c r="K31" i="71" s="1"/>
  <c r="K59" i="68" l="1"/>
  <c r="K54" i="68" s="1"/>
  <c r="L24" i="71"/>
  <c r="K87" i="70"/>
  <c r="M87" i="70" s="1"/>
  <c r="P87" i="70" s="1"/>
  <c r="I59" i="71" s="1"/>
  <c r="O64" i="68"/>
  <c r="K60" i="68" l="1"/>
  <c r="O60" i="68" s="1"/>
  <c r="G60" i="71" s="1"/>
  <c r="K60" i="71" s="1"/>
  <c r="K53" i="68"/>
  <c r="O59" i="68"/>
  <c r="G59" i="71" s="1"/>
  <c r="K59" i="71" s="1"/>
  <c r="O54" i="68"/>
  <c r="G54" i="71" s="1"/>
  <c r="K54" i="71" s="1"/>
  <c r="O53" i="68"/>
  <c r="G53" i="71" s="1"/>
  <c r="K53" i="71" s="1"/>
  <c r="K56" i="68"/>
  <c r="O56" i="68" s="1"/>
  <c r="G56" i="71" s="1"/>
  <c r="K56" i="71" s="1"/>
  <c r="G64" i="71"/>
  <c r="K64" i="71" s="1"/>
  <c r="K49" i="71"/>
  <c r="L44" i="71" s="1"/>
  <c r="J67" i="71" l="1"/>
  <c r="K67" i="71" s="1"/>
  <c r="L61" i="71" s="1"/>
  <c r="L58" i="71"/>
  <c r="J57" i="71"/>
  <c r="K57" i="71" s="1"/>
  <c r="I40" i="71"/>
  <c r="K40" i="71" s="1"/>
  <c r="L7" i="71" s="1"/>
  <c r="J86" i="71" l="1"/>
  <c r="K86" i="71" s="1"/>
  <c r="L85" i="71" s="1"/>
  <c r="J82" i="71"/>
  <c r="J80" i="71"/>
  <c r="J84" i="71"/>
  <c r="K84" i="71" s="1"/>
  <c r="L83" i="71" s="1"/>
  <c r="J78" i="71"/>
  <c r="L43" i="71"/>
  <c r="L50" i="71"/>
  <c r="L36" i="71"/>
  <c r="K82" i="71" l="1"/>
  <c r="L81" i="71" s="1"/>
  <c r="K78" i="71"/>
  <c r="K80" i="71"/>
  <c r="L79" i="71" s="1"/>
  <c r="L42" i="71" l="1"/>
  <c r="L77" i="71"/>
  <c r="F3" i="71"/>
  <c r="F4" i="73" l="1"/>
  <c r="G4"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Henry Wong</author>
  </authors>
  <commentList>
    <comment ref="M30" authorId="0" shapeId="0" xr:uid="{BF4D2120-87A6-401C-ACE6-33C5ECDDB229}">
      <text>
        <r>
          <rPr>
            <sz val="9"/>
            <color indexed="81"/>
            <rFont val="Tahoma"/>
            <family val="2"/>
          </rPr>
          <t>Vesoul in cubic yards
Voile product in barrels (42 gallons)
P = porosity, 0.4 for fine silt sand
SR = residual saturation, 0.15 for diesel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Henry Wong</author>
  </authors>
  <commentList>
    <comment ref="K15" authorId="0" shapeId="0" xr:uid="{66CCB693-7869-4EBC-B812-DC2C530F8895}">
      <text>
        <r>
          <rPr>
            <sz val="9"/>
            <color indexed="81"/>
            <rFont val="Tahoma"/>
            <family val="2"/>
          </rPr>
          <t>Reclaim @ 2020 Dollars</t>
        </r>
      </text>
    </comment>
    <comment ref="L15" authorId="0" shapeId="0" xr:uid="{1D9C902A-35C9-4A17-8631-2059362E104F}">
      <text>
        <r>
          <rPr>
            <sz val="9"/>
            <color indexed="81"/>
            <rFont val="Tahoma"/>
            <family val="2"/>
          </rPr>
          <t>2019 Yukon 3rd Party Rental @ 2020 Dollars:
Whitehorse → $175 - $185/ hr</t>
        </r>
      </text>
    </comment>
    <comment ref="M15" authorId="0" shapeId="0" xr:uid="{E5EE11C1-6D1B-4DC9-BF6E-4CCAA9CCF4B9}">
      <text>
        <r>
          <rPr>
            <sz val="9"/>
            <color indexed="81"/>
            <rFont val="Tahoma"/>
            <family val="2"/>
          </rPr>
          <t>2020 ARHCA</t>
        </r>
      </text>
    </comment>
    <comment ref="K16" authorId="0" shapeId="0" xr:uid="{29EA2F93-F2CF-4D80-B47A-AC480BC07999}">
      <text>
        <r>
          <rPr>
            <sz val="9"/>
            <color indexed="81"/>
            <rFont val="Tahoma"/>
            <family val="2"/>
          </rPr>
          <t>Reclaim @ 2020 Dollars</t>
        </r>
      </text>
    </comment>
    <comment ref="L16" authorId="0" shapeId="0" xr:uid="{F62E6D83-ACA5-45E4-BE93-FCC8A3593036}">
      <text>
        <r>
          <rPr>
            <sz val="9"/>
            <color indexed="81"/>
            <rFont val="Tahoma"/>
            <family val="2"/>
          </rPr>
          <t>2019 Yukon 3rd Party Rental @ 2020 Dollars:
Whitehorse → $250 - $280/ hr</t>
        </r>
      </text>
    </comment>
    <comment ref="M16" authorId="0" shapeId="0" xr:uid="{0F3383A6-CAB2-4412-84B6-614A482886E4}">
      <text>
        <r>
          <rPr>
            <sz val="9"/>
            <color indexed="81"/>
            <rFont val="Tahoma"/>
            <family val="2"/>
          </rPr>
          <t>2020 ARHCA</t>
        </r>
      </text>
    </comment>
    <comment ref="K17" authorId="0" shapeId="0" xr:uid="{90CE71F7-8E70-4026-866A-5FE89A7BC463}">
      <text>
        <r>
          <rPr>
            <sz val="9"/>
            <color indexed="81"/>
            <rFont val="Tahoma"/>
            <family val="2"/>
          </rPr>
          <t>Reclaim @ 2020 Dollars</t>
        </r>
      </text>
    </comment>
    <comment ref="L17" authorId="0" shapeId="0" xr:uid="{5AB58BDB-1BA1-444A-AA0F-A2044BC3F7B4}">
      <text>
        <r>
          <rPr>
            <sz val="9"/>
            <color indexed="81"/>
            <rFont val="Tahoma"/>
            <family val="2"/>
          </rPr>
          <t>2019 Yukon 3rd Party Rental @ 2020 Dollars:
Whitehorse → $180 - $225/ hr</t>
        </r>
      </text>
    </comment>
    <comment ref="M17" authorId="0" shapeId="0" xr:uid="{0AA6356A-7144-4868-B5C8-6641AD708243}">
      <text>
        <r>
          <rPr>
            <sz val="9"/>
            <color indexed="81"/>
            <rFont val="Tahoma"/>
            <family val="2"/>
          </rPr>
          <t>2020 ARHCA</t>
        </r>
      </text>
    </comment>
    <comment ref="K20" authorId="0" shapeId="0" xr:uid="{3F916169-B835-419D-ADC1-9EA0D8A4AEA3}">
      <text>
        <r>
          <rPr>
            <sz val="9"/>
            <color indexed="81"/>
            <rFont val="Tahoma"/>
            <family val="2"/>
          </rPr>
          <t>2019 Yukon 3rd Party Rental @ 2020 Dollars:
Whitehorse → $155 - $185/ hr</t>
        </r>
      </text>
    </comment>
    <comment ref="L20" authorId="0" shapeId="0" xr:uid="{5193CF66-10CE-4918-AB47-C485A2F9E144}">
      <text>
        <r>
          <rPr>
            <sz val="9"/>
            <color indexed="81"/>
            <rFont val="Tahoma"/>
            <family val="2"/>
          </rPr>
          <t>Average Travel Speed</t>
        </r>
      </text>
    </comment>
    <comment ref="M20" authorId="0" shapeId="0" xr:uid="{8C2C870F-9D5A-43C3-AFA8-48EAB92AD940}">
      <text>
        <r>
          <rPr>
            <sz val="9"/>
            <color indexed="81"/>
            <rFont val="Tahoma"/>
            <family val="2"/>
          </rPr>
          <t>Payload</t>
        </r>
      </text>
    </comment>
    <comment ref="L21" authorId="0" shapeId="0" xr:uid="{3A09EC1D-82C8-4A42-81B2-04AB3F413234}">
      <text>
        <r>
          <rPr>
            <sz val="9"/>
            <color indexed="81"/>
            <rFont val="Tahoma"/>
            <family val="2"/>
          </rPr>
          <t>Average Travel Speed</t>
        </r>
      </text>
    </comment>
    <comment ref="M21" authorId="0" shapeId="0" xr:uid="{EB85AEF0-A035-4291-9205-8652DF863298}">
      <text>
        <r>
          <rPr>
            <sz val="9"/>
            <color indexed="81"/>
            <rFont val="Tahoma"/>
            <family val="2"/>
          </rPr>
          <t>Payload</t>
        </r>
      </text>
    </comment>
    <comment ref="L25" authorId="0" shapeId="0" xr:uid="{7674E06D-FA70-44AD-87E7-F202D819F578}">
      <text>
        <r>
          <rPr>
            <sz val="9"/>
            <color indexed="81"/>
            <rFont val="Tahoma"/>
            <family val="2"/>
          </rPr>
          <t>cu.m to tonne conversion</t>
        </r>
      </text>
    </comment>
    <comment ref="M25" authorId="0" shapeId="0" xr:uid="{11BDB961-AE18-43FD-BC30-DEE5116AAEA0}">
      <text>
        <r>
          <rPr>
            <sz val="9"/>
            <color indexed="81"/>
            <rFont val="Tahoma"/>
            <family val="2"/>
          </rPr>
          <t>per tonne rate</t>
        </r>
      </text>
    </comment>
    <comment ref="L29" authorId="0" shapeId="0" xr:uid="{80C4C4DD-ED40-43A1-8A3E-370485558C21}">
      <text>
        <r>
          <rPr>
            <sz val="9"/>
            <color indexed="81"/>
            <rFont val="Tahoma"/>
            <family val="2"/>
          </rPr>
          <t>Developed project specific cost</t>
        </r>
      </text>
    </comment>
    <comment ref="L30" authorId="0" shapeId="0" xr:uid="{C9D92B6A-00A2-4D65-B5C9-528A1743F80D}">
      <text>
        <r>
          <rPr>
            <sz val="9"/>
            <color indexed="81"/>
            <rFont val="Tahoma"/>
            <family val="2"/>
          </rPr>
          <t>Developed project specific cost</t>
        </r>
      </text>
    </comment>
    <comment ref="L31" authorId="0" shapeId="0" xr:uid="{4E79F09D-34DA-4985-825A-B52120BBF1DF}">
      <text>
        <r>
          <rPr>
            <sz val="9"/>
            <color indexed="81"/>
            <rFont val="Tahoma"/>
            <family val="2"/>
          </rPr>
          <t>Developed project specific cost</t>
        </r>
      </text>
    </comment>
    <comment ref="L32" authorId="0" shapeId="0" xr:uid="{CD785691-6BBD-4D40-91D6-1DA561F22399}">
      <text>
        <r>
          <rPr>
            <sz val="9"/>
            <color indexed="81"/>
            <rFont val="Tahoma"/>
            <family val="2"/>
          </rPr>
          <t>Developed project specific cost</t>
        </r>
      </text>
    </comment>
    <comment ref="L33" authorId="0" shapeId="0" xr:uid="{94BAD907-7C58-4EAF-9616-11C91E8F9618}">
      <text>
        <r>
          <rPr>
            <sz val="9"/>
            <color indexed="81"/>
            <rFont val="Tahoma"/>
            <family val="2"/>
          </rPr>
          <t>Developed project specific cost</t>
        </r>
      </text>
    </comment>
    <comment ref="L34" authorId="0" shapeId="0" xr:uid="{AA8E30C4-75DE-4B46-880F-FE9427519E02}">
      <text>
        <r>
          <rPr>
            <sz val="9"/>
            <color indexed="81"/>
            <rFont val="Tahoma"/>
            <family val="2"/>
          </rPr>
          <t>Developed project specific cost</t>
        </r>
      </text>
    </comment>
    <comment ref="L35" authorId="0" shapeId="0" xr:uid="{20A8F786-6231-4C4A-A1EA-6C4A85D8C793}">
      <text>
        <r>
          <rPr>
            <sz val="9"/>
            <color indexed="81"/>
            <rFont val="Tahoma"/>
            <family val="2"/>
          </rPr>
          <t>Developed project specific cost</t>
        </r>
      </text>
    </comment>
    <comment ref="L36" authorId="0" shapeId="0" xr:uid="{D92D4972-7B12-4E28-A863-DED607208073}">
      <text>
        <r>
          <rPr>
            <sz val="9"/>
            <color indexed="81"/>
            <rFont val="Tahoma"/>
            <family val="2"/>
          </rPr>
          <t>Developed project specific cost</t>
        </r>
      </text>
    </comment>
    <comment ref="M40" authorId="0" shapeId="0" xr:uid="{82396A06-6A8D-407A-88B9-A080091EAD19}">
      <text>
        <r>
          <rPr>
            <sz val="9"/>
            <color indexed="81"/>
            <rFont val="Tahoma"/>
            <family val="2"/>
          </rPr>
          <t>Reclaim @ 2020 Dollar
→ for reference</t>
        </r>
      </text>
    </comment>
    <comment ref="M41" authorId="0" shapeId="0" xr:uid="{DD7722F8-6158-4B0C-B50A-D0DADD4B9F06}">
      <text>
        <r>
          <rPr>
            <sz val="9"/>
            <color indexed="81"/>
            <rFont val="Tahoma"/>
            <family val="2"/>
          </rPr>
          <t>Reclaim @ 2020 Dollar
→ for reference`</t>
        </r>
      </text>
    </comment>
    <comment ref="M42" authorId="0" shapeId="0" xr:uid="{334B1C24-2E7A-47AD-B246-463536DAEF00}">
      <text>
        <r>
          <rPr>
            <sz val="9"/>
            <color indexed="81"/>
            <rFont val="Tahoma"/>
            <family val="2"/>
          </rPr>
          <t>Application rate:
300kg/ha
Material cost:
$1.2/kg</t>
        </r>
      </text>
    </comment>
    <comment ref="M43" authorId="0" shapeId="0" xr:uid="{E54D8600-D4C0-45E0-917A-9E6E6DE13668}">
      <text>
        <r>
          <rPr>
            <sz val="9"/>
            <color indexed="81"/>
            <rFont val="Tahoma"/>
            <family val="2"/>
          </rPr>
          <t>Application rate:
25kg/ha
Material cost:
$15.45/kg</t>
        </r>
      </text>
    </comment>
    <comment ref="L67" authorId="0" shapeId="0" xr:uid="{5A286581-A94E-4EB9-B5B5-0D9A6DC2730D}">
      <text>
        <r>
          <rPr>
            <sz val="9"/>
            <color indexed="81"/>
            <rFont val="Tahoma"/>
            <family val="2"/>
          </rPr>
          <t>Air mob - cost per trip:
→ Travel distance, divided by plane travel speed = hours traveled one way
→ X2
→ Multiplied by hourly rate</t>
        </r>
      </text>
    </comment>
    <comment ref="M67" authorId="0" shapeId="0" xr:uid="{97A8A632-F3DA-4725-B040-C12E86CC97B0}">
      <text>
        <r>
          <rPr>
            <sz val="9"/>
            <color indexed="81"/>
            <rFont val="Tahoma"/>
            <family val="2"/>
          </rPr>
          <t>Contractor Site Inspection:
→ 12 hrs for environmental scientist to inspection site
→ 12 hrs for labour/ wildlife monitor support</t>
        </r>
      </text>
    </comment>
    <comment ref="L79" authorId="0" shapeId="0" xr:uid="{C8CE982A-DC40-4DCF-9C62-3CB2D5824BC6}">
      <text>
        <r>
          <rPr>
            <sz val="9"/>
            <color indexed="81"/>
            <rFont val="Tahoma"/>
            <family val="2"/>
          </rPr>
          <t>Air mob - cost per trip:
→ Travel distance, divided by plane travel speed = hours traveled one way
→ X2
→ Multiplied by hourly rate</t>
        </r>
      </text>
    </comment>
    <comment ref="M79" authorId="0" shapeId="0" xr:uid="{602BFFF5-AF42-4E94-91DB-A47F6F55353C}">
      <text>
        <r>
          <rPr>
            <sz val="9"/>
            <color indexed="81"/>
            <rFont val="Tahoma"/>
            <family val="2"/>
          </rPr>
          <t>Per kg haul rate:
→ Trip cost/ plane payload</t>
        </r>
      </text>
    </comment>
    <comment ref="L82" authorId="0" shapeId="0" xr:uid="{6D125815-9A71-4F55-97AC-1DD15732A41F}">
      <text>
        <r>
          <rPr>
            <sz val="9"/>
            <color indexed="81"/>
            <rFont val="Tahoma"/>
            <family val="2"/>
          </rPr>
          <t>6 person-crew + gear @ 150 kg * 110%</t>
        </r>
      </text>
    </comment>
    <comment ref="L87" authorId="0" shapeId="0" xr:uid="{938B4F1A-5D0D-4ED9-A8FE-EBCC5EE6C1F0}">
      <text>
        <r>
          <rPr>
            <sz val="9"/>
            <color indexed="81"/>
            <rFont val="Tahoma"/>
            <family val="2"/>
          </rPr>
          <t>Daily Rental Rate</t>
        </r>
      </text>
    </comment>
    <comment ref="L92" authorId="0" shapeId="0" xr:uid="{001201E0-85A0-4C65-A549-6A9E2D8F9D8D}">
      <text>
        <r>
          <rPr>
            <sz val="9"/>
            <color indexed="81"/>
            <rFont val="Tahoma"/>
            <family val="2"/>
          </rPr>
          <t>Land winter mob - cost per tonne:
→ Travel distance, divided by ground travel speed = hours traveled one way
→ +1 hour loading/ unloading
→ X2
→ Multiplied by hourly rate
→ Divided by payload</t>
        </r>
      </text>
    </comment>
    <comment ref="M92" authorId="0" shapeId="0" xr:uid="{91D3517C-38D6-48DB-A6E3-C500CB4F083A}">
      <text>
        <r>
          <rPr>
            <sz val="9"/>
            <color indexed="81"/>
            <rFont val="Tahoma"/>
            <family val="2"/>
          </rPr>
          <t>Air Mob:
→ Per tonne rate vs. above = per kg rate</t>
        </r>
      </text>
    </comment>
  </commentList>
</comments>
</file>

<file path=xl/sharedStrings.xml><?xml version="1.0" encoding="utf-8"?>
<sst xmlns="http://schemas.openxmlformats.org/spreadsheetml/2006/main" count="624" uniqueCount="364">
  <si>
    <t>.</t>
  </si>
  <si>
    <t>Key Lists</t>
  </si>
  <si>
    <t>Description</t>
  </si>
  <si>
    <t>Units</t>
  </si>
  <si>
    <t>Date</t>
  </si>
  <si>
    <t>Output review time periods</t>
  </si>
  <si>
    <t>Version</t>
  </si>
  <si>
    <t>Detail</t>
  </si>
  <si>
    <t>Inflation Rate</t>
  </si>
  <si>
    <t>Average Annual Inflation Rate based on Canadian CPI and Inflation</t>
  </si>
  <si>
    <t xml:space="preserve">
ID
</t>
  </si>
  <si>
    <t>a</t>
  </si>
  <si>
    <t>b</t>
  </si>
  <si>
    <t>c</t>
  </si>
  <si>
    <t>d</t>
  </si>
  <si>
    <t>Project Management</t>
  </si>
  <si>
    <t>Bonding/ Insurance</t>
  </si>
  <si>
    <t>Contingency</t>
  </si>
  <si>
    <t>Engagement Costs</t>
  </si>
  <si>
    <t>Regulatory Compliance Costs</t>
  </si>
  <si>
    <t>Final Closure and Reclamation Plan (Engineering, Research)</t>
  </si>
  <si>
    <t>Site Inspection</t>
  </si>
  <si>
    <t>Reclamation Activity</t>
  </si>
  <si>
    <t>Yes</t>
  </si>
  <si>
    <t>No</t>
  </si>
  <si>
    <t>Waste disposal tipping fee</t>
  </si>
  <si>
    <t>Cost Categories</t>
  </si>
  <si>
    <t>Disposal Costs</t>
  </si>
  <si>
    <t>Final Closure and Reclamation Plan</t>
  </si>
  <si>
    <t>Contingency (e.g. quantity/ cost contingencies)</t>
  </si>
  <si>
    <t>Item</t>
  </si>
  <si>
    <t>tonnes</t>
  </si>
  <si>
    <t>km</t>
  </si>
  <si>
    <t>sq.m</t>
  </si>
  <si>
    <t>litres</t>
  </si>
  <si>
    <t>pieces of equipment</t>
  </si>
  <si>
    <t>ha</t>
  </si>
  <si>
    <t>yes or no</t>
  </si>
  <si>
    <t>cu.m</t>
  </si>
  <si>
    <t>kg</t>
  </si>
  <si>
    <t>Bonding percentage</t>
  </si>
  <si>
    <t>%</t>
  </si>
  <si>
    <t>Inputs from Worksheet</t>
  </si>
  <si>
    <t>L</t>
  </si>
  <si>
    <t>tonne</t>
  </si>
  <si>
    <t xml:space="preserve">Include costs for applying fertilizer:
→ Labour + fertilizer costs
</t>
  </si>
  <si>
    <t>ea</t>
  </si>
  <si>
    <t>Mobilization of workers</t>
  </si>
  <si>
    <t>Demobilization of camp</t>
  </si>
  <si>
    <t>Is the project an aircraft-access only mobilization?</t>
  </si>
  <si>
    <t>Restoration of Disturbed Lands</t>
  </si>
  <si>
    <t>4x operators</t>
  </si>
  <si>
    <t>i</t>
  </si>
  <si>
    <t>ii</t>
  </si>
  <si>
    <t>Unit Rate</t>
  </si>
  <si>
    <t>Security Amount</t>
  </si>
  <si>
    <t>Yes or No triggers</t>
  </si>
  <si>
    <t>n/a</t>
  </si>
  <si>
    <t>Direct Costs</t>
  </si>
  <si>
    <t>Indirect Costs</t>
  </si>
  <si>
    <t>Labour and Equipment Rates</t>
  </si>
  <si>
    <t>Labour</t>
  </si>
  <si>
    <t>Equipment</t>
  </si>
  <si>
    <t>Crew</t>
  </si>
  <si>
    <t>hr</t>
  </si>
  <si>
    <t>L of fuel containers</t>
  </si>
  <si>
    <t>persondays</t>
  </si>
  <si>
    <t>Costing Subtotals</t>
  </si>
  <si>
    <t>Quantity</t>
  </si>
  <si>
    <t>..</t>
  </si>
  <si>
    <t>Prepare Abandoned Equipment for removal/ demobilization</t>
  </si>
  <si>
    <t>Prepare Abandoned Camp/ Buildings/ Infrastructure for removal/ demobilization</t>
  </si>
  <si>
    <t>Costing Detail</t>
  </si>
  <si>
    <t>Subtotals</t>
  </si>
  <si>
    <t>Labour work to consolidate scrap.</t>
  </si>
  <si>
    <t>Tipping fees for industrial waste.</t>
  </si>
  <si>
    <t>Y/ N Trigger</t>
  </si>
  <si>
    <t>Develop Work Specific Cost</t>
  </si>
  <si>
    <t>No Work</t>
  </si>
  <si>
    <t>Sub-contractor</t>
  </si>
  <si>
    <t>Twin Otter costs (w/ fuel)</t>
  </si>
  <si>
    <t xml:space="preserve">Triggered based on distance of site &gt; 0 km.
</t>
  </si>
  <si>
    <t>Camp rental rate</t>
  </si>
  <si>
    <t>da</t>
  </si>
  <si>
    <t>Input Worksheet Row ID</t>
  </si>
  <si>
    <t>Placement of salvaged topsoil and/or organics</t>
  </si>
  <si>
    <t xml:space="preserve">Include costs for seeding/ planting:
→ Labour + seed costs
</t>
  </si>
  <si>
    <t>TOTAL SECURITY ESTIMATE</t>
  </si>
  <si>
    <t>Input Worksheet-Row ID</t>
  </si>
  <si>
    <t>→ Prepare Equipment for Demobilization</t>
  </si>
  <si>
    <t xml:space="preserve">→ Restoration of Disturbed Areas
→ Placement of Topsoil
→ Application of Fertilizer
→ Seeding/ Planting
→ Consolidation of Scrap/ Garbage
</t>
  </si>
  <si>
    <t>→ Demolish/ Dismantle Camp/ Buildings/ Infrastructure</t>
  </si>
  <si>
    <t xml:space="preserve">→ Waste transport to South Disposal Facility
→ Waste disposal tipping fee
</t>
  </si>
  <si>
    <t>Demobilization of reclamation fuel containers</t>
  </si>
  <si>
    <t>End</t>
  </si>
  <si>
    <t xml:space="preserve">Input ID #3:
Distance from Yellowknife
</t>
  </si>
  <si>
    <t>Project Name</t>
  </si>
  <si>
    <t>First Draft of Tool to Project Team</t>
  </si>
  <si>
    <t>Entry</t>
  </si>
  <si>
    <t>Quantities</t>
  </si>
  <si>
    <t xml:space="preserve">Work Estimate:
→ 100 L/ equipment/ day
</t>
  </si>
  <si>
    <t>Production</t>
  </si>
  <si>
    <t>Production - units/ crewday</t>
  </si>
  <si>
    <t xml:space="preserve">Work Calculation:
→ 6 person crew
</t>
  </si>
  <si>
    <t xml:space="preserve">Demobilization of abandoned camp&amp; equipment, debris and wastes </t>
  </si>
  <si>
    <t xml:space="preserve">4x workers @ 16'x14' (20 sq.m) structure in 3 hours:
→ 80 sq.m in 12 hr-day
</t>
  </si>
  <si>
    <t xml:space="preserve">Dozer production:
→ 300 l.cu.m/ hr (CAT handbook for D6R @ 30m) * 0.8 non-optimal efficiency = 240 l.cu.m/ hr
→ 1 ha @ 100 mm push = 1,000 cu.m/ ha = 1,400 l.cu.m/ ha;
→ 0.17 ha/ hr @ 12 hr-day (11 hr worktime);
→ 1.9 ha/ day
</t>
  </si>
  <si>
    <t>Allow 1 day of costs</t>
  </si>
  <si>
    <t>Equipment fleet</t>
  </si>
  <si>
    <t>day</t>
  </si>
  <si>
    <t>t</t>
  </si>
  <si>
    <t>Operation of camp</t>
  </si>
  <si>
    <t>ICM - Geotechnical Monitoring</t>
  </si>
  <si>
    <t>ICM - Surface Water Quality/ ARD Monitoring</t>
  </si>
  <si>
    <t xml:space="preserve">Allow 200 m haul - Excavate, load, spread:
→ 20T Exc @ 0.23 min cycle, 0.8 cu.m bucket (104 l.cu.m/ hr);
→ 80 cu.m/ hr @ 12 hr day (11 hr worktime);
→ 880 cu.m/ day
</t>
  </si>
  <si>
    <t xml:space="preserve">2x workers @ 1 ha/ day:
→ 4 person crew @ 2 ha/ day
</t>
  </si>
  <si>
    <t xml:space="preserve">2x workers @ 1 piece of equipment per 30 min:
→ 2x workers @ 22 pieces/ 12 hr-day (11 hr worktime);
→ 4 person crew @ 44 pieces/ day
</t>
  </si>
  <si>
    <t>2x workers @ 2 ha/ day:
→ 4 person crew @ 4 ha/day</t>
  </si>
  <si>
    <t xml:space="preserve">2x workers @ shovel and package 0.5 cu.m/ 4hr:
→ 2x workers @ 1.5 cu.m/ day
→ 4 person crew @ 3 cu.m/ day
</t>
  </si>
  <si>
    <t>days</t>
  </si>
  <si>
    <t xml:space="preserve">Mobilization of camp and supplies
</t>
  </si>
  <si>
    <t xml:space="preserve">Waste disposal tipping fee:
→ Yellowknife
</t>
  </si>
  <si>
    <t xml:space="preserve">Hazardous Waste disposal tipping fee - contaminated soil:
→ Yellowknife
</t>
  </si>
  <si>
    <t xml:space="preserve">Hazardous Waste disposal tipping fee - liquid:
→ Yellowknife
</t>
  </si>
  <si>
    <t>Included in disposal fee</t>
  </si>
  <si>
    <t>INPUT</t>
  </si>
  <si>
    <t xml:space="preserve"> </t>
  </si>
  <si>
    <t>Mob haul (Tractor w/ operator and fuel)</t>
  </si>
  <si>
    <t xml:space="preserve">→ Trigger for ICM - Geotechnical Monitoring
</t>
  </si>
  <si>
    <t xml:space="preserve">→ Trigger for Closure and Reclamation Plan
→ Trigger for Engagement Costs
→ Trigger for Regulatory Compliance Costs
</t>
  </si>
  <si>
    <t>Variable1</t>
  </si>
  <si>
    <t>Variable2</t>
  </si>
  <si>
    <t>Variable3</t>
  </si>
  <si>
    <t>Applicant's Name</t>
  </si>
  <si>
    <t>Contact Telephone</t>
  </si>
  <si>
    <t>Contact Email</t>
  </si>
  <si>
    <t>DRAFT #1 for Project Team Review</t>
  </si>
  <si>
    <t>DRAFT #2 for Project Team Review</t>
  </si>
  <si>
    <t>Second Draft of Tool to Project Team</t>
  </si>
  <si>
    <t>Applicable Year</t>
  </si>
  <si>
    <t>2020 Real Dollars</t>
  </si>
  <si>
    <t>xxx-xxx-xxxx</t>
  </si>
  <si>
    <t>x@xmail.com</t>
  </si>
  <si>
    <t>Column1</t>
  </si>
  <si>
    <t>Section</t>
  </si>
  <si>
    <t>Color Legend</t>
  </si>
  <si>
    <t>Sub-Sect.</t>
  </si>
  <si>
    <t xml:space="preserve">The Tool defaults to estimated costs based on small scaled cleanup projects. Enter a project specific cost if applicable.
</t>
  </si>
  <si>
    <t>Enter number of inspections per year</t>
  </si>
  <si>
    <t>Variables</t>
  </si>
  <si>
    <t>trips</t>
  </si>
  <si>
    <t>$</t>
  </si>
  <si>
    <t>Units2</t>
  </si>
  <si>
    <t>Assigned Cost</t>
  </si>
  <si>
    <t>As per 2020 reference project, Dam Inspection ~$9,000.</t>
  </si>
  <si>
    <t>years</t>
  </si>
  <si>
    <t>Enter number of years of ICM Monitoring</t>
  </si>
  <si>
    <t>As per 2020 reference project, WQ Monitoring and Laboratory Analysis ~$39,000.</t>
  </si>
  <si>
    <t>$/ trip from Calculation Worksheet</t>
  </si>
  <si>
    <t>Labourer (Category D Class)</t>
  </si>
  <si>
    <r>
      <t xml:space="preserve">20T Excavator (Group 9) (w/ </t>
    </r>
    <r>
      <rPr>
        <u/>
        <sz val="9"/>
        <color theme="1"/>
        <rFont val="Calibri"/>
        <family val="2"/>
      </rPr>
      <t>operator</t>
    </r>
    <r>
      <rPr>
        <sz val="9"/>
        <color theme="1"/>
        <rFont val="Calibri"/>
        <family val="2"/>
      </rPr>
      <t xml:space="preserve"> and fuel)</t>
    </r>
  </si>
  <si>
    <r>
      <t xml:space="preserve">30T Haul Truck (Group 3) (w/ </t>
    </r>
    <r>
      <rPr>
        <u/>
        <sz val="9"/>
        <color theme="1"/>
        <rFont val="Calibri"/>
        <family val="2"/>
      </rPr>
      <t>operator</t>
    </r>
    <r>
      <rPr>
        <sz val="9"/>
        <color theme="1"/>
        <rFont val="Calibri"/>
        <family val="2"/>
      </rPr>
      <t xml:space="preserve"> and fuel)</t>
    </r>
  </si>
  <si>
    <r>
      <t xml:space="preserve">Hourly rate:
→ Yukon 3rd Party Rental Rates selected
3 rates are shown for </t>
    </r>
    <r>
      <rPr>
        <u/>
        <sz val="9"/>
        <color theme="1"/>
        <rFont val="Calibri"/>
        <family val="2"/>
      </rPr>
      <t xml:space="preserve">reference </t>
    </r>
    <r>
      <rPr>
        <sz val="9"/>
        <color theme="1"/>
        <rFont val="Calibri"/>
        <family val="2"/>
      </rPr>
      <t xml:space="preserve">in the 'variables' columns:
→ 2020 Dollars Reclaim Rates
→ 2020 Dollars Yukon 3rd Party Rental Rates
→ 2020 Dollars Alberta Roadbuilders &amp; Heavy Construction Association equipment rental rates guide
</t>
    </r>
  </si>
  <si>
    <t xml:space="preserve">Hourly rate:
→ Yukon 3rd Party Rental Rates Selected
</t>
  </si>
  <si>
    <t>2019 Vendor Quote</t>
  </si>
  <si>
    <t>2020 Vendor Quote</t>
  </si>
  <si>
    <t>Estimate based on small scaled cleanup projects:
→ 2nd variable column to allow for Project Specific Input</t>
  </si>
  <si>
    <r>
      <t>Variable1 - (</t>
    </r>
    <r>
      <rPr>
        <b/>
        <u/>
        <sz val="9"/>
        <color theme="1"/>
        <rFont val="Calibri"/>
        <family val="2"/>
      </rPr>
      <t>e.g.</t>
    </r>
    <r>
      <rPr>
        <b/>
        <sz val="9"/>
        <color theme="1"/>
        <rFont val="Calibri"/>
        <family val="2"/>
      </rPr>
      <t xml:space="preserve"> daily work production)</t>
    </r>
  </si>
  <si>
    <r>
      <t>Variable3 - (</t>
    </r>
    <r>
      <rPr>
        <b/>
        <u/>
        <sz val="9"/>
        <color theme="1"/>
        <rFont val="Calibri"/>
        <family val="2"/>
      </rPr>
      <t>e.g.</t>
    </r>
    <r>
      <rPr>
        <b/>
        <sz val="9"/>
        <color theme="1"/>
        <rFont val="Calibri"/>
        <family val="2"/>
      </rPr>
      <t xml:space="preserve"> quote or calc cost)</t>
    </r>
  </si>
  <si>
    <t>Input Description</t>
  </si>
  <si>
    <t xml:space="preserve">→ Trigger for Post-Closure Monitoring Costs
</t>
  </si>
  <si>
    <t>Post-Closure - Monitoring and Inspection</t>
  </si>
  <si>
    <t>Enter number of years of Post-Closure Monitoring and Inspection</t>
  </si>
  <si>
    <t>Enter workforce inspection costs/ event</t>
  </si>
  <si>
    <t>Enter laboratory costs/ event</t>
  </si>
  <si>
    <t>Enter reporting costs/ event</t>
  </si>
  <si>
    <t>Enter other costs/ event</t>
  </si>
  <si>
    <t xml:space="preserve">Assume soil clean-up for Fuel Transfer area:
→ Estimate 20L spill for 200,000L of fuel = 0.01%;
→ API Soil Volume required to immobilize a volume of hydrocarbons calculation, 0.4 soil porosity, 15% residual saturation for diesel in fine sand/ silt.
</t>
  </si>
  <si>
    <t>Work - crewday</t>
  </si>
  <si>
    <t>ICM Monitoring</t>
  </si>
  <si>
    <t>Interim Care and Maintenance (ICM)</t>
  </si>
  <si>
    <t>Mobilization of operators, if required</t>
  </si>
  <si>
    <t>Demobilization of workers (and operators)</t>
  </si>
  <si>
    <t xml:space="preserve">Triggered if a Post-Closure Monitoring and Inspection program is required.
</t>
  </si>
  <si>
    <t>Post-Closure Monitoring and Inspection</t>
  </si>
  <si>
    <t>Health and Safety Plans/ Monitoring &amp; QA/QC</t>
  </si>
  <si>
    <t>Operator A</t>
  </si>
  <si>
    <r>
      <t>Variable2 - (</t>
    </r>
    <r>
      <rPr>
        <b/>
        <u/>
        <sz val="9"/>
        <color theme="1"/>
        <rFont val="Calibri"/>
        <family val="2"/>
      </rPr>
      <t>e.g.</t>
    </r>
    <r>
      <rPr>
        <b/>
        <sz val="9"/>
        <color theme="1"/>
        <rFont val="Calibri"/>
        <family val="2"/>
      </rPr>
      <t xml:space="preserve"> daily/ unit cost)
</t>
    </r>
  </si>
  <si>
    <t>Default estimate based on medium-sized projects = $15,000.</t>
  </si>
  <si>
    <t>Default estimate based on medium-sized projects = $30,000.</t>
  </si>
  <si>
    <t xml:space="preserve">Input ID #4:
Is the Project Aircraft Access-only
</t>
  </si>
  <si>
    <t xml:space="preserve">→ Transport of Solid Hazardous wastes
→ Tipping fees - empty barrels and containers
</t>
  </si>
  <si>
    <t>barrels</t>
  </si>
  <si>
    <r>
      <rPr>
        <u/>
        <sz val="9"/>
        <color theme="1"/>
        <rFont val="Calibri"/>
        <family val="2"/>
      </rPr>
      <t>YES or NO:</t>
    </r>
    <r>
      <rPr>
        <sz val="9"/>
        <color theme="1"/>
        <rFont val="Calibri"/>
        <family val="2"/>
      </rPr>
      <t xml:space="preserve">
→ Is there a potential impact of the proposed project on groundwater and surface water?
</t>
    </r>
    <r>
      <rPr>
        <i/>
        <sz val="9"/>
        <color theme="1"/>
        <rFont val="Calibri"/>
        <family val="2"/>
      </rPr>
      <t xml:space="preserve">From 2019 MVLWB Guide to Land Use Permitting Process - DRAFT:
→ 3.2 - 17. Describe potential impacts of the proposed project on:
• Groundwater and surface water – include changes to flow, quantity and quality.
</t>
    </r>
  </si>
  <si>
    <r>
      <rPr>
        <u/>
        <sz val="9"/>
        <color theme="1"/>
        <rFont val="Calibri"/>
        <family val="2"/>
      </rPr>
      <t>YES or NO:</t>
    </r>
    <r>
      <rPr>
        <sz val="9"/>
        <color theme="1"/>
        <rFont val="Calibri"/>
        <family val="2"/>
      </rPr>
      <t xml:space="preserve">
→ Is Post-Closure Monitoring and Inspection required?
</t>
    </r>
  </si>
  <si>
    <t>Application Section</t>
  </si>
  <si>
    <t>4.  LOCATION OF ACTIVITIES</t>
  </si>
  <si>
    <t>7.  PERMIT TYPE AND CRITERIA</t>
  </si>
  <si>
    <t>8.  PROJECT DESCRIPTION</t>
  </si>
  <si>
    <t>9.  CAMP</t>
  </si>
  <si>
    <t>10.  ROAD AND ACCESSES</t>
  </si>
  <si>
    <t>12.  EQUIPMENT</t>
  </si>
  <si>
    <t>13.  FUEL</t>
  </si>
  <si>
    <t>17.  POTENTIAL ENVIRONMENTAL IMPACTS OF THE PROJECT AND PROPOSED MITIGATIONS</t>
  </si>
  <si>
    <t>18.  CLOSURE AND RECLAMATION</t>
  </si>
  <si>
    <t>today</t>
  </si>
  <si>
    <t>$/ km</t>
  </si>
  <si>
    <t>Project Specific Cost Item</t>
  </si>
  <si>
    <t>Sub Category</t>
  </si>
  <si>
    <t>Cost Category</t>
  </si>
  <si>
    <t>Activity No.</t>
  </si>
  <si>
    <t xml:space="preserve">Hourly rate:
→ 2020 Yukon Fair Wage Schedule w/ 200% loading
→ loading includes overhead, payroll, 1.5x pay for overtime &gt; 40 hrs and profit
</t>
  </si>
  <si>
    <t xml:space="preserve">Daily equipment rate:
→ 1x excavator
→ 2x haul trucks
→ 1x bulldozer
</t>
  </si>
  <si>
    <r>
      <t xml:space="preserve">D6R Bulldozer (Group 6) (w/ </t>
    </r>
    <r>
      <rPr>
        <u/>
        <sz val="9"/>
        <color theme="1"/>
        <rFont val="Calibri"/>
        <family val="2"/>
      </rPr>
      <t>operator</t>
    </r>
    <r>
      <rPr>
        <sz val="9"/>
        <color theme="1"/>
        <rFont val="Calibri"/>
        <family val="2"/>
      </rPr>
      <t xml:space="preserve"> and fuel)</t>
    </r>
  </si>
  <si>
    <t>Environmental Scientist/ Qualified Person</t>
  </si>
  <si>
    <t xml:space="preserve">Hourly rate:
→ 2020 Yukon Fair Wage Schedule w/ 200% loading
→ loading includes overhead, payroll, 1.5x pay for overtime &gt; 40 hrs, and profit
</t>
  </si>
  <si>
    <t xml:space="preserve">Daily crew rate:
→ 1x supervisor
→ 4x workers
</t>
  </si>
  <si>
    <t xml:space="preserve">Rates:
→ Hourly rate (Yukon 3rd Party Rental Rates Selected)
→ Average travel speed
→ Payload
</t>
  </si>
  <si>
    <t xml:space="preserve">Rate:
→ 2020 Vendor quoted hourly rate
→ vendor stated hourly fuel consumption
→ per landing fee
→ Vendor quoted travel speed
→ Vendor quoted payload
</t>
  </si>
  <si>
    <t xml:space="preserve">2020 Vendor Quote:
→ $500/ t heavy equipment
→ $225.50/ t general industrial waste
</t>
  </si>
  <si>
    <t xml:space="preserve">2020 Vendor Quote:
→ $1.50 waste fuel
→ $1.25 oils/ lubes/ grease
</t>
  </si>
  <si>
    <t>Supervisor (Category A Class. Note: a supervisor is not specifically listed in the fair wage schedule, however, industry pay scales are in-line with skilled trade/ journeymen wages)</t>
  </si>
  <si>
    <t>Unit rate based on small scaled cleanup projects</t>
  </si>
  <si>
    <t>Construction of winter ice road</t>
  </si>
  <si>
    <t>Application of fertilizer</t>
  </si>
  <si>
    <t>Seeding/ planting</t>
  </si>
  <si>
    <t>Prepare equipment for demobilization</t>
  </si>
  <si>
    <t>Consolidation of scrap/ garbage</t>
  </si>
  <si>
    <t>Demolish/ dismantle camp/ buildings/ infrastructure</t>
  </si>
  <si>
    <t xml:space="preserve">2x workers @ 10 mins to empty barrel and package:
→ 2x workers @ 6 barrels/ hr, 66 barrels for 12 hr-day (11 hr worktime)
→ 4 person crew @ 132 barrels (205L)/ day
</t>
  </si>
  <si>
    <t xml:space="preserve">Re-contour disturbed areas/ grade to match natural surrounding and promote natural drainage:
→ Dozer at full production (grading, ripping, spreading)
→ Excavator &amp; 2x trucks @ 1/3 production (gravel removal, sump burial)
</t>
  </si>
  <si>
    <t xml:space="preserve">Work to dismantle buildings based on sq.m:
→ Labour only
</t>
  </si>
  <si>
    <t xml:space="preserve">Labour work to prepare equipment:
→ Drain fluids
→ Dismantle and package for demobilization
</t>
  </si>
  <si>
    <t xml:space="preserve">Place overburden to restore disturbed areas to match original site conditions/ promote vegetation:
→ Allow 25% of total disturbed areas to create pockets for revegetation
→ 150 mm thick cover
</t>
  </si>
  <si>
    <t xml:space="preserve">Transport of abandoned buildings and equipment to disposal facility based on total weight:
→ Southern industrial waste disposal (15 hrs to AB).
</t>
  </si>
  <si>
    <t xml:space="preserve">Preparation of fuel barrels and fuel containers for removal/ demob:
→ Transfer residual liquids out of containers
→ Decontaminate, as required
</t>
  </si>
  <si>
    <t xml:space="preserve">Labour work to consolidate fuel and prepare for transport:
→ Clean
→ Strap to pallets or set into shipping containers
</t>
  </si>
  <si>
    <t>Hazmat abatement/ consolidated and contain for demobilization</t>
  </si>
  <si>
    <t>Soil Remediation (e.g. dig and remove)</t>
  </si>
  <si>
    <t>Disposal of Hazardous Materials</t>
  </si>
  <si>
    <t xml:space="preserve">Transport from Yellowknife:
→ Empty barrels
→ Fuel containers
→ Contaminated soil from soil remediation (2.05t/cu.m)
</t>
  </si>
  <si>
    <t xml:space="preserve">Tipping fees:
→ Empty barrels @ 20kg/ barrel
→ Fuel containers
</t>
  </si>
  <si>
    <t xml:space="preserve">Tipping fees:
→ Contaminated soil
</t>
  </si>
  <si>
    <t xml:space="preserve">Tipping fees:
→ Waste fuel and waste petrol products
</t>
  </si>
  <si>
    <t xml:space="preserve">Hazmat disposal tipping fees:
→ Contaminated soil
</t>
  </si>
  <si>
    <t xml:space="preserve">Hazmat disposal tipping fees:
→ Waste fuel and waste petrol products
</t>
  </si>
  <si>
    <t xml:space="preserve">Hazmat disposal tipping fees:
→ Empty barrels and fuel containers
</t>
  </si>
  <si>
    <t xml:space="preserve">Triggered based on distance of site &gt; 0 km.
Travel to site:
→ Air travel
→ 1 scientist + 1 labourer/ wildlife monitoring crew
</t>
  </si>
  <si>
    <t>ICM geotechnical monitoring</t>
  </si>
  <si>
    <t xml:space="preserve">Trigger for heavy equipment work:
→ Restoration of disturbed land required; or
→ Large demo.
</t>
  </si>
  <si>
    <t>Operation of reclamation camp/ accommodations and meals</t>
  </si>
  <si>
    <t>Trigger for land demob costs vs. air demob costs.</t>
  </si>
  <si>
    <t xml:space="preserve">6x person base work crew (@ 150kg w/ gear per person):
→ 4 local workers
→ 1 supervisor
→ 1 support
</t>
  </si>
  <si>
    <r>
      <t xml:space="preserve">Demobilization of by winter road </t>
    </r>
    <r>
      <rPr>
        <u/>
        <sz val="9"/>
        <color theme="1"/>
        <rFont val="Calibri"/>
        <family val="2"/>
      </rPr>
      <t>or</t>
    </r>
    <r>
      <rPr>
        <sz val="9"/>
        <color theme="1"/>
        <rFont val="Calibri"/>
        <family val="2"/>
      </rPr>
      <t xml:space="preserve"> aircraft:
→ Camp and equipment
→ Hazardous solid waste
→ Hazardous liquid waste
</t>
    </r>
  </si>
  <si>
    <t xml:space="preserve">Demobilization of heavy equipment for reclamation, if mobilized
</t>
  </si>
  <si>
    <t xml:space="preserve">Triggered if a detailed Closure and Reclamation Plan is required:
→ Engagement costs if further development of a Reclamation and Closure Plan is required
</t>
  </si>
  <si>
    <t>Triggered if a detailed Closure and Reclamation Plan is required:
→ Permitting and legal costs for reclamation work</t>
  </si>
  <si>
    <t>Triggered if a detailed Closure and Reclamation Plan is required.</t>
  </si>
  <si>
    <t>Monitoring and inspection</t>
  </si>
  <si>
    <t xml:space="preserve">Project management for the  reclamation and closure work
</t>
  </si>
  <si>
    <t>Project management costs range from 5% to 10% of the Direct costs.</t>
  </si>
  <si>
    <t xml:space="preserve">Health and safety &amp; QA/QC for the reclamation work
</t>
  </si>
  <si>
    <t>Health and safety &amp; QA/QC range from 1% to 3% of the Direct costs.</t>
  </si>
  <si>
    <t xml:space="preserve">Pursuant to section 85.1 of the Construction Act and section 12 of the accompanying general regulation, all “public contracts” with a contract price of $500,000 or more require the contractor to furnish both a performance bond and a labour and materials bond that, in each case, must be in the prescribed forms and have coverage limits of at least 50% per cent of the contract price.
</t>
  </si>
  <si>
    <t>Contingency for the reclamation work</t>
  </si>
  <si>
    <t xml:space="preserve">Contingency assigned to account for uncertainties linked to the various components of the final reclamation:
→ 15% represents a high uncertainty of the final cleanup plan but an expected low technical execution requirement
</t>
  </si>
  <si>
    <t>Calculated Variable</t>
  </si>
  <si>
    <r>
      <rPr>
        <u/>
        <sz val="9"/>
        <color theme="1"/>
        <rFont val="Calibri"/>
        <family val="2"/>
      </rPr>
      <t>QUANTITY:</t>
    </r>
    <r>
      <rPr>
        <sz val="9"/>
        <color theme="1"/>
        <rFont val="Calibri"/>
        <family val="2"/>
      </rPr>
      <t xml:space="preserve">
→ Total area of </t>
    </r>
    <r>
      <rPr>
        <u/>
        <sz val="9"/>
        <color theme="1"/>
        <rFont val="Calibri"/>
        <family val="2"/>
      </rPr>
      <t>disturbed</t>
    </r>
    <r>
      <rPr>
        <sz val="9"/>
        <color theme="1"/>
        <rFont val="Calibri"/>
        <family val="2"/>
      </rPr>
      <t xml:space="preserve"> land, in hectares
→ This number is important and must be precise as it will greatly impact the security estimate
</t>
    </r>
    <r>
      <rPr>
        <i/>
        <sz val="9"/>
        <color theme="1"/>
        <rFont val="Calibri"/>
        <family val="2"/>
      </rPr>
      <t xml:space="preserve">From Application Form:
→ Indicate the total number of hectares to be used in each phase of the project, as well as through the life of the project.
</t>
    </r>
  </si>
  <si>
    <t>.2</t>
  </si>
  <si>
    <t xml:space="preserve">
Question No.
</t>
  </si>
  <si>
    <t>Where are the costs calculated from this input?</t>
  </si>
  <si>
    <t>https://www.statsnwt.ca/prices-expenditures/cpi/historical_cpi/index.html</t>
  </si>
  <si>
    <t xml:space="preserve">Consumer Price Index (CPI) - Monthly
→ Yellowknife, NT
→ July 2020
</t>
  </si>
  <si>
    <t xml:space="preserve">Consumer Price Index (CPI) - Calendar Year End
→ Yellowknife, NT
→ 2019
</t>
  </si>
  <si>
    <t>https://www.statsnwt.ca/prices-expenditures/cpi/</t>
  </si>
  <si>
    <t>DRAFT #3</t>
  </si>
  <si>
    <t>Mobilization of heavy equipment and materials for reclamation work</t>
  </si>
  <si>
    <t>Mobilization of fuel for reclamation work</t>
  </si>
  <si>
    <t>Mobilization, Camp, and Demobilization Costs</t>
  </si>
  <si>
    <r>
      <t xml:space="preserve">Mobilization of </t>
    </r>
    <r>
      <rPr>
        <u/>
        <sz val="9"/>
        <color theme="1"/>
        <rFont val="Calibri"/>
        <family val="2"/>
      </rPr>
      <t xml:space="preserve">Heavy Equipment </t>
    </r>
    <r>
      <rPr>
        <sz val="9"/>
        <color theme="1"/>
        <rFont val="Calibri"/>
        <family val="2"/>
      </rPr>
      <t>for the Reclamation Work, if required</t>
    </r>
  </si>
  <si>
    <t>Additional daily mobilization of workers if there is no site camp</t>
  </si>
  <si>
    <t>Mobilization and Demobilization of Workers and Supplies for the Reclamation Work</t>
  </si>
  <si>
    <t>Camp for the Reclamation Work</t>
  </si>
  <si>
    <t>Demobilization of Abandoned Equipment and Materials (+ Heavy Equipment mobilized for the Reclamation Work, if required)</t>
  </si>
  <si>
    <t>Total weight based on calculation of work effort.</t>
  </si>
  <si>
    <t>Yes/ No trigger for heavy equipment.</t>
  </si>
  <si>
    <t xml:space="preserve">Restoration of disturbed lands, as required:
→ Re-contouring disturbed areas
→ Removal of gravel pads
→ Burying sumps
→ Reclaim site access roads
</t>
  </si>
  <si>
    <t>Waste transport to southern disposal facility from hub city; e.g. Yellowknife</t>
  </si>
  <si>
    <t>Soil remediation (manual labour to dig out contaminated soil by fuel transfer areas)</t>
  </si>
  <si>
    <t>Transport of solid hazardous wastes to southern disposal facility from hub city; e.g. Yellowknife</t>
  </si>
  <si>
    <t>Transport of liquid hazardous wastes to southern disposal facility from hub city; e.g. Yellowknife</t>
  </si>
  <si>
    <t>Site inspection/ monitoring by a Contractor (fly in by air)</t>
  </si>
  <si>
    <t>Will heavy equipment be required for the reclamation work?</t>
  </si>
  <si>
    <t xml:space="preserve">Supply of reclamation camp
* or if less than 7 calculated working days - daily mobilization and demobilization of workers
</t>
  </si>
  <si>
    <r>
      <rPr>
        <u/>
        <sz val="9"/>
        <color theme="1"/>
        <rFont val="Calibri"/>
        <family val="2"/>
      </rPr>
      <t>YES or NO:</t>
    </r>
    <r>
      <rPr>
        <sz val="9"/>
        <color theme="1"/>
        <rFont val="Calibri"/>
        <family val="2"/>
      </rPr>
      <t xml:space="preserve">
→ Will there be construction of a building with a footprint of more than 100 m</t>
    </r>
    <r>
      <rPr>
        <vertAlign val="superscript"/>
        <sz val="9"/>
        <color theme="1"/>
        <rFont val="Calibri"/>
        <family val="2"/>
      </rPr>
      <t>2</t>
    </r>
    <r>
      <rPr>
        <sz val="9"/>
        <color theme="1"/>
        <rFont val="Calibri"/>
        <family val="2"/>
      </rPr>
      <t xml:space="preserve"> and a height of more than 5 m?
→ Is the Section 7, Type B - 5(a)(vi) box checked in the Application Form?
</t>
    </r>
    <r>
      <rPr>
        <i/>
        <sz val="9"/>
        <color theme="1"/>
        <rFont val="Calibri"/>
        <family val="2"/>
      </rPr>
      <t xml:space="preserve">
From Application Form:
→ Refer to Sections 4 and 5 of MV Land Use Regulations;
→ 5(a)(vi)
</t>
    </r>
  </si>
  <si>
    <r>
      <rPr>
        <u/>
        <sz val="9"/>
        <color theme="1"/>
        <rFont val="Calibri"/>
        <family val="2"/>
      </rPr>
      <t>QUANTITY:</t>
    </r>
    <r>
      <rPr>
        <sz val="9"/>
        <color theme="1"/>
        <rFont val="Calibri"/>
        <family val="2"/>
      </rPr>
      <t xml:space="preserve">
→ Total number of heavy machinery/ equipment that will be mobilized to site and used in the operation
→ Enter "0" (zero) for no equipment
</t>
    </r>
    <r>
      <rPr>
        <i/>
        <sz val="9"/>
        <color theme="1"/>
        <rFont val="Calibri"/>
        <family val="2"/>
      </rPr>
      <t xml:space="preserve">From 2019 MVLWB Guide to Land Use Permitting Process - DRAFT:
→ 3.2 - 12. Use the table provided to list the type, number, weight (in tonnes), and proposed uses of all equipment proposed to be used.
The cost of removing this equipment must be reflected in the closure cost estimate (see item 18 below) and will be considered by the Board in development of any security requirements.
</t>
    </r>
  </si>
  <si>
    <r>
      <rPr>
        <u/>
        <sz val="9"/>
        <color theme="1"/>
        <rFont val="Calibri"/>
        <family val="2"/>
      </rPr>
      <t>QUANTITY:</t>
    </r>
    <r>
      <rPr>
        <sz val="9"/>
        <color theme="1"/>
        <rFont val="Calibri"/>
        <family val="2"/>
      </rPr>
      <t xml:space="preserve">
→ Total weight of heavy machinery/ equipment that will be mobilized to site and used in the operation, in tonnes
→ Enter "0" (zero) for no equipment
</t>
    </r>
  </si>
  <si>
    <r>
      <rPr>
        <u/>
        <sz val="9"/>
        <color theme="1"/>
        <rFont val="Calibri"/>
        <family val="2"/>
      </rPr>
      <t>QUANTITY:</t>
    </r>
    <r>
      <rPr>
        <sz val="9"/>
        <color theme="1"/>
        <rFont val="Calibri"/>
        <family val="2"/>
      </rPr>
      <t xml:space="preserve">
→ Total number of fuel barrels that will be mobilized to the site
→ Enter "0" (zero) for no barrels
</t>
    </r>
    <r>
      <rPr>
        <i/>
        <sz val="9"/>
        <color theme="1"/>
        <rFont val="Calibri"/>
        <family val="2"/>
      </rPr>
      <t xml:space="preserve">From 2019 MVLWB Guide to Land Use Permitting Process - DRAFT:
→ 3.2 - 13. Identify all petroleum-based fuel types (e.g., diesel, gasoline, aviation fuel, propane, etc.) that will be used, and for each fuel type, provide the following information:
• Number of containers;
• Capacity of containers (e.g., litres, pounds);
• Type of container (e.g., barrel, tank, tidy-tank, jerry-cans etc.); and
• Proposed storage or staging location(s).
</t>
    </r>
  </si>
  <si>
    <r>
      <rPr>
        <u/>
        <sz val="9"/>
        <color theme="1"/>
        <rFont val="Calibri"/>
        <family val="2"/>
      </rPr>
      <t>QUANTITY:</t>
    </r>
    <r>
      <rPr>
        <sz val="9"/>
        <color theme="1"/>
        <rFont val="Calibri"/>
        <family val="2"/>
      </rPr>
      <t xml:space="preserve">
→ Total volume of fuel that will be mobilized to the site, in litres
→ Enter "0" (zero) for no fuel
</t>
    </r>
  </si>
  <si>
    <t>Does land restoration require the use of heavy equipment?</t>
  </si>
  <si>
    <r>
      <rPr>
        <u/>
        <sz val="9"/>
        <color theme="1"/>
        <rFont val="Calibri"/>
        <family val="2"/>
      </rPr>
      <t>YES or NO:</t>
    </r>
    <r>
      <rPr>
        <sz val="9"/>
        <color theme="1"/>
        <rFont val="Calibri"/>
        <family val="2"/>
      </rPr>
      <t xml:space="preserve">
→ Is there a potential for instability of reclaimed areas?
</t>
    </r>
    <r>
      <rPr>
        <i/>
        <sz val="9"/>
        <color theme="1"/>
        <rFont val="Calibri"/>
        <family val="2"/>
      </rPr>
      <t xml:space="preserve">From 2019 MVLWB Guide to Land Use Permitting Process - DRAFT:
→ 3.2 - 17. Describe potential impacts of the proposed project on:
• Land, including geological structure change, soil contamination, compaction/settling/erosion, alteration of the permafrost regime and riparian zone loss.
</t>
    </r>
  </si>
  <si>
    <r>
      <rPr>
        <u/>
        <sz val="9"/>
        <color theme="1"/>
        <rFont val="Calibri"/>
        <family val="2"/>
      </rPr>
      <t>YES or NO:</t>
    </r>
    <r>
      <rPr>
        <sz val="9"/>
        <color theme="1"/>
        <rFont val="Calibri"/>
        <family val="2"/>
      </rPr>
      <t xml:space="preserve">
→ Will a detailed Closure and Reclamation Plan be required?
</t>
    </r>
    <r>
      <rPr>
        <i/>
        <sz val="9"/>
        <color theme="1"/>
        <rFont val="Calibri"/>
        <family val="2"/>
      </rPr>
      <t xml:space="preserve">A Detailed Reclamation and Closure Plan would likely be required only if detailed engineering is required.
</t>
    </r>
    <r>
      <rPr>
        <sz val="9"/>
        <color theme="1"/>
        <rFont val="Calibri"/>
        <family val="2"/>
      </rPr>
      <t xml:space="preserve">
</t>
    </r>
    <r>
      <rPr>
        <i/>
        <sz val="9"/>
        <color theme="1"/>
        <rFont val="Calibri"/>
        <family val="2"/>
      </rPr>
      <t xml:space="preserve">From Application Form:
→ Describe your plans for closure and reclamation, including any temporary closure(s) and seasonal shutdowns. Include your Closure and Reclamation Plan in your Application Package, if applicable, or for small‐scale projects, describe the proposed activities.
</t>
    </r>
  </si>
  <si>
    <r>
      <rPr>
        <u/>
        <sz val="9"/>
        <color theme="1"/>
        <rFont val="Calibri"/>
        <family val="2"/>
      </rPr>
      <t>QUANTITY:</t>
    </r>
    <r>
      <rPr>
        <sz val="9"/>
        <color theme="1"/>
        <rFont val="Calibri"/>
        <family val="2"/>
      </rPr>
      <t xml:space="preserve">
→ Total footprint area of all buildings that will be constructed/ installed, in m</t>
    </r>
    <r>
      <rPr>
        <vertAlign val="superscript"/>
        <sz val="9"/>
        <color theme="1"/>
        <rFont val="Calibri"/>
        <family val="2"/>
      </rPr>
      <t xml:space="preserve">2
</t>
    </r>
    <r>
      <rPr>
        <sz val="9"/>
        <color theme="1"/>
        <rFont val="Calibri"/>
        <family val="2"/>
      </rPr>
      <t xml:space="preserve">→ Enter "0" (zero) for no camp (no buildings)
</t>
    </r>
    <r>
      <rPr>
        <i/>
        <sz val="9"/>
        <color theme="1"/>
        <rFont val="Calibri"/>
        <family val="2"/>
      </rPr>
      <t xml:space="preserve">From 2019 MVLWB Guide to Land Use Permitting Process - DRAFT:
→ 3.2 - 9. If the project includes a camp, describe the camp, including the following information:
• camp layout, including number, type, and dimensions (m2) of structures;
</t>
    </r>
  </si>
  <si>
    <r>
      <rPr>
        <u/>
        <sz val="9"/>
        <color theme="1"/>
        <rFont val="Calibri"/>
        <family val="2"/>
      </rPr>
      <t>QUANTITY:</t>
    </r>
    <r>
      <rPr>
        <sz val="9"/>
        <color theme="1"/>
        <rFont val="Calibri"/>
        <family val="2"/>
      </rPr>
      <t xml:space="preserve">
→ Total camp (all buildings) weight that will be constructed/ installed, in tonnes
→ Enter 0 for no camp
</t>
    </r>
    <r>
      <rPr>
        <i/>
        <sz val="9"/>
        <color theme="1"/>
        <rFont val="Calibri"/>
        <family val="2"/>
      </rPr>
      <t xml:space="preserve">Calculate total tonnage of camp buildings.  Weight will be known by proponent for their mobilization plan.
</t>
    </r>
  </si>
  <si>
    <r>
      <rPr>
        <u/>
        <sz val="9"/>
        <color theme="1"/>
        <rFont val="Calibri"/>
        <family val="2"/>
      </rPr>
      <t>QUANTITY:</t>
    </r>
    <r>
      <rPr>
        <sz val="9"/>
        <color theme="1"/>
        <rFont val="Calibri"/>
        <family val="2"/>
      </rPr>
      <t xml:space="preserve">
→ Total weight of non-barrel fuel storage containers that will be mobilized to the site (e.g. fuel tanks), in tonnes
→ Enter "0" (zero) for no containers
</t>
    </r>
  </si>
  <si>
    <r>
      <rPr>
        <u/>
        <sz val="9"/>
        <color theme="1"/>
        <rFont val="Calibri"/>
        <family val="2"/>
      </rPr>
      <t>QUANTITY:</t>
    </r>
    <r>
      <rPr>
        <sz val="9"/>
        <color theme="1"/>
        <rFont val="Calibri"/>
        <family val="2"/>
      </rPr>
      <t xml:space="preserve">
→ Distance of site from closest hub city (i.e. city with airbase and land access for waste disposal transport), assume straight line distance in km.
</t>
    </r>
    <r>
      <rPr>
        <i/>
        <sz val="9"/>
        <color theme="1"/>
        <rFont val="Calibri"/>
        <family val="2"/>
      </rPr>
      <t xml:space="preserve">Yellowknife has been selected as the default hub city for costing purposes in the Tool, but other road access communities are assumed to be equivalent cost-wise based on the detail level of the cost estimate.
</t>
    </r>
  </si>
  <si>
    <t xml:space="preserve">Equipment required for reclamation:
→ 1x 20T excavator (20T)
→ 2x 30T haul trucks (25T ea)
→ 1x D6 bulldozer (25T)
</t>
  </si>
  <si>
    <t>Development of Detailed Closure and Reclamation Plan (CRP)</t>
  </si>
  <si>
    <t>Applicant's Rationale for Input</t>
  </si>
  <si>
    <t>ICM groundwater and surface water monitoring</t>
  </si>
  <si>
    <t>Total Project Specific Unit Rate</t>
  </si>
  <si>
    <t xml:space="preserve">Hourly rate:
→ based on known project work
</t>
  </si>
  <si>
    <t xml:space="preserve">Default unit rate based on known project work
→ 2nd variable column to allow for Project Specific Input
</t>
  </si>
  <si>
    <t>→ Trigger for Demobilization of Abandoned Equipment Unit Rate - Land vs. Air unit rate</t>
  </si>
  <si>
    <t xml:space="preserve">→ Trigger for Heavy Equipment for the Reclamation Work
</t>
  </si>
  <si>
    <t xml:space="preserve">Transport from Yellowknife:
→ Waste fuel (10% of total volume of fuel)(0.832 t/cu.m)
→ Assume 1% of total volume of fuel for petrol waste products (waste oils, lubricants, oil filters and absorbent pads) to make up bulk of 'other' hazmat
</t>
  </si>
  <si>
    <t>Total Project Specific Cost</t>
  </si>
  <si>
    <t>$ Cost</t>
  </si>
  <si>
    <t>Develop Project Specific Cost</t>
  </si>
  <si>
    <t xml:space="preserve">→ Preparation of fuel containers for removal
→ Trigger for hazmat abatement cost
→ Soil Remediation
→ Transport of Solid Hazardous wastes to South
→ Transport of Liquid Hazardous wastes to South
→ Tipping fees - contaminated soil
→ Tipping fees - liquid hazmat
</t>
  </si>
  <si>
    <t xml:space="preserve">Trigger based on volume of permitted fuel &gt; 0 L.
Cost of collecting hazardous materials:
→ Waste petrol products
→ Used chemicals
→ Batteries
→ Oil filters and absorbent pads
→ Fluorescent lights
</t>
  </si>
  <si>
    <t>cost</t>
  </si>
  <si>
    <t xml:space="preserve">Contingency cost for variability in environmental and pricing factors
</t>
  </si>
  <si>
    <t xml:space="preserve">Assume min. 7 days to trigger camp:
→ otherwise daily mob of workers
Camp:
→ x2 sleeper
→ 1x kitchen facility
→ standard pact
→ bear fence
→ 2000 kg for camp
→ 1500 kg for wood
→ 1000 kg for fuel (1 barrel/ week for tents, 1 barrel/ week for genset)
→ 1000 kg for tool and supplies
+ 1x sleeper for 4x operators:
→ 500 kg camp
→ 500 kg wood
→ 500 kg  fuel
</t>
  </si>
  <si>
    <t xml:space="preserve">Assume: 
→ 2000 kg for camp
→ 1000 kg for tool and supplies
</t>
  </si>
  <si>
    <t xml:space="preserve">Triggered based on potential impacts of proposed project on Land:
→ Monitoring costs
</t>
  </si>
  <si>
    <t xml:space="preserve">Triggered based on potential impacts of proposed project on Water:
→ Monitoring costs
</t>
  </si>
  <si>
    <t>Project Specific Costs</t>
  </si>
  <si>
    <t xml:space="preserve">Instructions:
This sheet is organized according to the Mackenzie Valley Land and Water Board Land Use Permit Application Form.  An estimate of security costs will be calculated from the answers to the questions below.  The precision of the information in the application will reflect directly on the security estimate.
Enter the requested input into the yellow squares in column "G".  The other worksheets do not need to be filled out; the Security Estimate sheet shows the breakout of costs by reclamation activity and the Project Specific Rates sheet is only required for specific scenarios (most projects should not need this). The Quantity Calcs and Unit Rate Calcs show how the answers to the Costing Questions are used to calculate security. 
Please read the User Manual to help with answering the questions.
</t>
  </si>
  <si>
    <t>DRAFT 3 - Blank</t>
  </si>
  <si>
    <t xml:space="preserve">Instructions:
Project specific rates and costs can be entered and developed in this sheet.
Enter the requested input into the yellow squares in column "F".  Please read the User Manual to help with the basis of assumptions for the individual cost items.
</t>
  </si>
  <si>
    <t>→ Trigger for ICM - Groundwater and Surface Water Monitoring</t>
  </si>
  <si>
    <t>→ ICM - Site Inspection Unit Rate
→ Air Mobilization Unit Rate
→ Mobilization and Demobilzation Unit Rates</t>
  </si>
  <si>
    <t>Prepare Hazardous Materials for Removal/ Demobilization (residual waste fuel, waste fuel containers, hazardous building materials, etc.)</t>
  </si>
  <si>
    <r>
      <rPr>
        <u/>
        <sz val="9"/>
        <color theme="1"/>
        <rFont val="Calibri"/>
        <family val="2"/>
      </rPr>
      <t>YES or NO:</t>
    </r>
    <r>
      <rPr>
        <sz val="9"/>
        <color theme="1"/>
        <rFont val="Calibri"/>
        <family val="2"/>
      </rPr>
      <t xml:space="preserve">
→ Is the Project fixed-wing aircraft access only?
</t>
    </r>
    <r>
      <rPr>
        <i/>
        <sz val="9"/>
        <color theme="1"/>
        <rFont val="Calibri"/>
        <family val="2"/>
      </rPr>
      <t xml:space="preserve">Helicopter-access only costing was not considered in the Tool due to the complexity of staging and equipment transport logistics.
</t>
    </r>
  </si>
  <si>
    <t>Other Project Specific Costs</t>
  </si>
  <si>
    <t>iv</t>
  </si>
  <si>
    <t>v</t>
  </si>
  <si>
    <t>5.08a</t>
  </si>
  <si>
    <t>Other costs not already included in the Tool</t>
  </si>
  <si>
    <t>Project specific cost item #1</t>
  </si>
  <si>
    <t>Project specific cost item #2</t>
  </si>
  <si>
    <t>Project specific cost item #3</t>
  </si>
  <si>
    <t>Column12</t>
  </si>
  <si>
    <t>ICM - Geotechnical Monitoring Costs</t>
  </si>
  <si>
    <t>ICM - Groundwater and Surface Water Monitoring Costs</t>
  </si>
  <si>
    <t>Post-Closure - Monitoring and Inspection Costs</t>
  </si>
  <si>
    <r>
      <rPr>
        <u/>
        <sz val="9"/>
        <color theme="1"/>
        <rFont val="Calibri"/>
        <family val="2"/>
      </rPr>
      <t>QUANTITY:</t>
    </r>
    <r>
      <rPr>
        <sz val="9"/>
        <color theme="1"/>
        <rFont val="Calibri"/>
        <family val="2"/>
      </rPr>
      <t xml:space="preserve">
→ Enter length of the winter road construction, required for mobilization of the operation, in kilometers to the nearest decimal point (rounded up)
→ Enter "0" (zero) for no winter road construction
</t>
    </r>
    <r>
      <rPr>
        <i/>
        <sz val="9"/>
        <color theme="1"/>
        <rFont val="Calibri"/>
        <family val="2"/>
      </rPr>
      <t xml:space="preserve">From 2019 MVLWB Guide to Land Use Permitting Process - DRAFT:
→ 3.2 - 10. Indicate whether a road or access is to be pioneered (i.e. built for the first time) and whether it has been laid out or ground-truthed. Describe the route, construction, and maintenance of any new or existing road.
</t>
    </r>
  </si>
  <si>
    <t>→ Construction of Winter Road Costs</t>
  </si>
  <si>
    <r>
      <rPr>
        <u/>
        <sz val="9"/>
        <color theme="1"/>
        <rFont val="Calibri"/>
        <family val="2"/>
      </rPr>
      <t>YES or NO:</t>
    </r>
    <r>
      <rPr>
        <sz val="9"/>
        <color theme="1"/>
        <rFont val="Calibri"/>
        <family val="2"/>
      </rPr>
      <t xml:space="preserve">
→ Is winter road construction required for mobilization of the operation?
</t>
    </r>
  </si>
  <si>
    <r>
      <rPr>
        <u/>
        <sz val="9"/>
        <color theme="1"/>
        <rFont val="Calibri"/>
        <family val="2"/>
      </rPr>
      <t>YES or NO:</t>
    </r>
    <r>
      <rPr>
        <sz val="9"/>
        <color theme="1"/>
        <rFont val="Calibri"/>
        <family val="2"/>
      </rPr>
      <t xml:space="preserve">
→ Is the winter road construction over land-only?
</t>
    </r>
  </si>
  <si>
    <t>→ Trigger for Construction of Winter Road Costs</t>
  </si>
  <si>
    <t>Construction of winter road for mobilization</t>
  </si>
  <si>
    <t>Construction of winter road for demobilization</t>
  </si>
  <si>
    <t xml:space="preserve">→ Trigger for Winter Road Construction over land-only vs. over land and water construction unit rate
</t>
  </si>
  <si>
    <r>
      <t xml:space="preserve">Winter Ice Road Construction (i.e. over land </t>
    </r>
    <r>
      <rPr>
        <u/>
        <sz val="9"/>
        <color theme="1"/>
        <rFont val="Calibri"/>
        <family val="2"/>
      </rPr>
      <t>and</t>
    </r>
    <r>
      <rPr>
        <sz val="9"/>
        <color theme="1"/>
        <rFont val="Calibri"/>
        <family val="2"/>
      </rPr>
      <t xml:space="preserve"> water)</t>
    </r>
  </si>
  <si>
    <r>
      <t xml:space="preserve">The Tool uses a unit rate for Winter Ice Road Construction (i.e. over land </t>
    </r>
    <r>
      <rPr>
        <u/>
        <sz val="9"/>
        <color theme="1"/>
        <rFont val="Calibri"/>
        <family val="2"/>
      </rPr>
      <t>and</t>
    </r>
    <r>
      <rPr>
        <sz val="9"/>
        <color theme="1"/>
        <rFont val="Calibri"/>
        <family val="2"/>
      </rPr>
      <t xml:space="preserve"> water) based on referenced project costs; however, because of the variability and significance of the cost item, a project specific unit rate can be entered here.  The ideal information would be based on actual costs for the operation's mobilization.
</t>
    </r>
  </si>
  <si>
    <t>Construction of winter road over land-only</t>
  </si>
  <si>
    <t xml:space="preserve">Unit rate based on known project work
</t>
  </si>
  <si>
    <t>Existing Securities</t>
  </si>
  <si>
    <t>List total amount of overlapping security and existing associated permits in Rationale Input</t>
  </si>
  <si>
    <t>Enter total amount of overlapping security, and list existing associated permits in Rationale Input</t>
  </si>
  <si>
    <r>
      <rPr>
        <u/>
        <sz val="9"/>
        <color theme="1"/>
        <rFont val="Calibri"/>
        <family val="2"/>
      </rPr>
      <t>YES or NO:</t>
    </r>
    <r>
      <rPr>
        <sz val="9"/>
        <color theme="1"/>
        <rFont val="Calibri"/>
        <family val="2"/>
      </rPr>
      <t xml:space="preserve">
→ Does land restoration require the use of heavy equipment?
</t>
    </r>
    <r>
      <rPr>
        <i/>
        <sz val="9"/>
        <color theme="1"/>
        <rFont val="Calibri"/>
        <family val="2"/>
      </rPr>
      <t xml:space="preserve">Heavy equipment may not be required for operations with smaller footprints.
</t>
    </r>
  </si>
  <si>
    <t xml:space="preserve">→ The Existing Securities is subtracted from the Total Security Estimate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</si>
</sst>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4" formatCode="_-&quot;$&quot;* #,##0.00_-;\-&quot;$&quot;* #,##0.00_-;_-&quot;$&quot;* &quot;-&quot;??_-;_-@_-"/>
    <numFmt numFmtId="164" formatCode="#,##0.##"/>
    <numFmt numFmtId="165" formatCode="[$-F800]dddd\,\ mmmm\ dd\,\ yyyy"/>
    <numFmt numFmtId="166" formatCode="#,##0.###"/>
    <numFmt numFmtId="167" formatCode="#,##0.###\ &quot;ha&quot;"/>
    <numFmt numFmtId="168" formatCode="#,##0.###\ &quot;sq.m&quot;"/>
    <numFmt numFmtId="169" formatCode="#,##0.###\ &quot;L&quot;"/>
    <numFmt numFmtId="170" formatCode="#,##0.###\ &quot;cu.m&quot;"/>
    <numFmt numFmtId="171" formatCode="#,##0.###\ &quot;m&quot;"/>
    <numFmt numFmtId="172" formatCode="#,##0.###\ &quot;t&quot;"/>
    <numFmt numFmtId="173" formatCode="#,##0.###\ &quot;kg&quot;"/>
    <numFmt numFmtId="174" formatCode="#,##0.###\ &quot;kg/ha&quot;"/>
    <numFmt numFmtId="175" formatCode="#,##0.###\ &quot;km&quot;"/>
    <numFmt numFmtId="176" formatCode="#,##0.###\ &quot;$/ km-t&quot;"/>
    <numFmt numFmtId="177" formatCode="#,##0.###\ &quot;hr&quot;"/>
    <numFmt numFmtId="178" formatCode="#,##0.###\ &quot;sq.m/ d&quot;"/>
    <numFmt numFmtId="179" formatCode="#,##0.###\ &quot;ha/ d&quot;"/>
    <numFmt numFmtId="180" formatCode="#,##0.###\ &quot;km/ hr&quot;"/>
    <numFmt numFmtId="181" formatCode="#,##0.###\ &quot;$/ t&quot;"/>
    <numFmt numFmtId="182" formatCode="#,##0.000"/>
    <numFmt numFmtId="183" formatCode="#,##0.###\ &quot;persons&quot;"/>
    <numFmt numFmtId="184" formatCode="#,##0.###\ &quot;days&quot;"/>
    <numFmt numFmtId="185" formatCode="#,##0.###\ &quot;cu.m/ d&quot;"/>
    <numFmt numFmtId="186" formatCode="#,##0.###\ &quot;/ d&quot;"/>
    <numFmt numFmtId="187" formatCode="#,##0.###\ &quot;L/ d&quot;"/>
    <numFmt numFmtId="188" formatCode="#,##0.###\ &quot;$/ cu.m&quot;"/>
    <numFmt numFmtId="189" formatCode="#,##0.###\ &quot;d&quot;"/>
    <numFmt numFmtId="190" formatCode="#,##0.###\ &quot;t/ cu.m&quot;"/>
    <numFmt numFmtId="191" formatCode="_-&quot;$&quot;* #,##0.000_-;\-&quot;$&quot;* #,##0.000_-;_-&quot;$&quot;* &quot;-&quot;???_-;_-@_-"/>
  </numFmts>
  <fonts count="21" x14ac:knownFonts="1">
    <font>
      <sz val="10"/>
      <color theme="1"/>
      <name val="Calibri"/>
      <family val="2"/>
    </font>
    <font>
      <sz val="10"/>
      <name val="Arial"/>
      <family val="2"/>
    </font>
    <font>
      <sz val="11"/>
      <color theme="1"/>
      <name val="Calibri"/>
      <family val="2"/>
      <scheme val="minor"/>
    </font>
    <font>
      <sz val="10"/>
      <color theme="1"/>
      <name val="Calibri"/>
      <family val="2"/>
    </font>
    <font>
      <sz val="12"/>
      <color theme="1"/>
      <name val="Calibri"/>
      <family val="2"/>
    </font>
    <font>
      <sz val="9"/>
      <color theme="1"/>
      <name val="Calibri"/>
      <family val="2"/>
    </font>
    <font>
      <b/>
      <sz val="9"/>
      <color theme="1"/>
      <name val="Calibri"/>
      <family val="2"/>
    </font>
    <font>
      <u/>
      <sz val="10"/>
      <color theme="1"/>
      <name val="Calibri"/>
      <family val="2"/>
    </font>
    <font>
      <sz val="8"/>
      <name val="Calibri"/>
      <family val="2"/>
    </font>
    <font>
      <sz val="14"/>
      <color theme="1"/>
      <name val="Calibri"/>
      <family val="2"/>
    </font>
    <font>
      <sz val="9"/>
      <color indexed="81"/>
      <name val="Tahoma"/>
      <family val="2"/>
    </font>
    <font>
      <u/>
      <sz val="9"/>
      <color theme="1"/>
      <name val="Calibri"/>
      <family val="2"/>
    </font>
    <font>
      <sz val="9"/>
      <name val="Calibri"/>
      <family val="2"/>
    </font>
    <font>
      <sz val="9"/>
      <color theme="0" tint="-0.249977111117893"/>
      <name val="Calibri"/>
      <family val="2"/>
    </font>
    <font>
      <vertAlign val="superscript"/>
      <sz val="9"/>
      <color theme="1"/>
      <name val="Calibri"/>
      <family val="2"/>
    </font>
    <font>
      <i/>
      <sz val="9"/>
      <color theme="0" tint="-0.249977111117893"/>
      <name val="Calibri"/>
      <family val="2"/>
    </font>
    <font>
      <b/>
      <u/>
      <sz val="9"/>
      <color theme="1"/>
      <name val="Calibri"/>
      <family val="2"/>
    </font>
    <font>
      <i/>
      <sz val="9"/>
      <color theme="1"/>
      <name val="Calibri"/>
      <family val="2"/>
    </font>
    <font>
      <i/>
      <sz val="10"/>
      <color theme="1"/>
      <name val="Calibri"/>
      <family val="2"/>
    </font>
    <font>
      <u/>
      <sz val="10"/>
      <color theme="10"/>
      <name val="Calibri"/>
      <family val="2"/>
    </font>
    <font>
      <b/>
      <sz val="12"/>
      <color theme="1"/>
      <name val="Calibri"/>
      <family val="2"/>
    </font>
  </fonts>
  <fills count="12">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3" tint="0.89999084444715716"/>
        <bgColor indexed="64"/>
      </patternFill>
    </fill>
    <fill>
      <patternFill patternType="solid">
        <fgColor rgb="FFFFFF99"/>
        <bgColor indexed="64"/>
      </patternFill>
    </fill>
    <fill>
      <patternFill patternType="solid">
        <fgColor theme="6" tint="0.79998168889431442"/>
        <bgColor indexed="64"/>
      </patternFill>
    </fill>
    <fill>
      <patternFill patternType="solid">
        <fgColor theme="0"/>
        <bgColor indexed="64"/>
      </patternFill>
    </fill>
    <fill>
      <patternFill patternType="solid">
        <fgColor rgb="FF0C6E54"/>
        <bgColor indexed="64"/>
      </patternFill>
    </fill>
    <fill>
      <patternFill patternType="solid">
        <fgColor rgb="FFE7FFFF"/>
        <bgColor indexed="64"/>
      </patternFill>
    </fill>
    <fill>
      <patternFill patternType="solid">
        <fgColor theme="8" tint="0.79998168889431442"/>
        <bgColor indexed="64"/>
      </patternFill>
    </fill>
    <fill>
      <patternFill patternType="solid">
        <fgColor rgb="FFCCECFF"/>
        <bgColor indexed="64"/>
      </patternFill>
    </fill>
  </fills>
  <borders count="22">
    <border>
      <left/>
      <right/>
      <top/>
      <bottom/>
      <diagonal/>
    </border>
    <border>
      <left style="thin">
        <color theme="6" tint="0.79998168889431442"/>
      </left>
      <right style="thin">
        <color theme="6" tint="0.79998168889431442"/>
      </right>
      <top style="thin">
        <color theme="0"/>
      </top>
      <bottom style="thin">
        <color theme="0"/>
      </bottom>
      <diagonal/>
    </border>
    <border>
      <left style="thin">
        <color theme="1" tint="0.499984740745262"/>
      </left>
      <right style="thin">
        <color theme="1" tint="0.499984740745262"/>
      </right>
      <top style="thin">
        <color theme="0"/>
      </top>
      <bottom style="thin">
        <color theme="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tint="0.499984740745262"/>
      </left>
      <right/>
      <top style="thin">
        <color theme="0"/>
      </top>
      <bottom style="thin">
        <color theme="0"/>
      </bottom>
      <diagonal/>
    </border>
    <border>
      <left/>
      <right style="thin">
        <color theme="1" tint="0.499984740745262"/>
      </right>
      <top style="thin">
        <color theme="0"/>
      </top>
      <bottom style="thin">
        <color theme="0"/>
      </bottom>
      <diagonal/>
    </border>
    <border>
      <left/>
      <right style="thin">
        <color theme="6" tint="0.79998168889431442"/>
      </right>
      <top/>
      <bottom/>
      <diagonal/>
    </border>
    <border>
      <left/>
      <right/>
      <top style="thin">
        <color theme="0"/>
      </top>
      <bottom style="thin">
        <color theme="0"/>
      </bottom>
      <diagonal/>
    </border>
    <border>
      <left style="thin">
        <color theme="6" tint="0.79998168889431442"/>
      </left>
      <right/>
      <top/>
      <bottom/>
      <diagonal/>
    </border>
  </borders>
  <cellStyleXfs count="8">
    <xf numFmtId="0" fontId="0" fillId="0" borderId="0"/>
    <xf numFmtId="0" fontId="1" fillId="0" borderId="0"/>
    <xf numFmtId="44" fontId="1" fillId="0" borderId="0" applyFont="0" applyFill="0" applyBorder="0" applyAlignment="0" applyProtection="0"/>
    <xf numFmtId="0" fontId="2" fillId="0" borderId="0"/>
    <xf numFmtId="9" fontId="3" fillId="0" borderId="0" applyFont="0" applyFill="0" applyBorder="0" applyAlignment="0" applyProtection="0"/>
    <xf numFmtId="0" fontId="2" fillId="0" borderId="0"/>
    <xf numFmtId="44" fontId="3" fillId="0" borderId="0" applyFont="0" applyFill="0" applyBorder="0" applyAlignment="0" applyProtection="0"/>
    <xf numFmtId="0" fontId="19" fillId="0" borderId="0" applyNumberFormat="0" applyFill="0" applyBorder="0" applyAlignment="0" applyProtection="0"/>
  </cellStyleXfs>
  <cellXfs count="315">
    <xf numFmtId="0" fontId="0" fillId="0" borderId="0" xfId="0"/>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Font="1" applyAlignment="1">
      <alignment horizontal="center" vertical="top"/>
    </xf>
    <xf numFmtId="0" fontId="0" fillId="0" borderId="0" xfId="0" applyFont="1" applyAlignment="1">
      <alignment vertical="top" wrapText="1"/>
    </xf>
    <xf numFmtId="164" fontId="0" fillId="0" borderId="0" xfId="0" applyNumberFormat="1" applyAlignment="1">
      <alignment horizontal="center" vertical="top"/>
    </xf>
    <xf numFmtId="164" fontId="0" fillId="0" borderId="0" xfId="0" applyNumberFormat="1" applyAlignment="1">
      <alignment vertical="top" wrapText="1"/>
    </xf>
    <xf numFmtId="0" fontId="4" fillId="0" borderId="0" xfId="0" applyFont="1" applyAlignment="1">
      <alignment vertical="top"/>
    </xf>
    <xf numFmtId="0" fontId="0" fillId="0" borderId="0" xfId="0" applyFont="1" applyAlignment="1">
      <alignment vertical="top"/>
    </xf>
    <xf numFmtId="165" fontId="0" fillId="0" borderId="0" xfId="0" applyNumberFormat="1" applyFont="1" applyAlignment="1">
      <alignment horizontal="center" vertical="top"/>
    </xf>
    <xf numFmtId="0" fontId="4"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5" fillId="0" borderId="0" xfId="0" applyFont="1" applyAlignment="1">
      <alignment vertical="top" wrapText="1"/>
    </xf>
    <xf numFmtId="0" fontId="5" fillId="3" borderId="0" xfId="0" applyFont="1" applyFill="1" applyAlignment="1">
      <alignment vertical="top" wrapText="1"/>
    </xf>
    <xf numFmtId="0" fontId="5" fillId="0" borderId="0" xfId="0" applyFont="1" applyAlignment="1">
      <alignment vertical="top"/>
    </xf>
    <xf numFmtId="0" fontId="5" fillId="0" borderId="0" xfId="0" applyFont="1" applyFill="1" applyAlignment="1">
      <alignment vertical="top" wrapText="1"/>
    </xf>
    <xf numFmtId="0" fontId="5" fillId="0" borderId="0" xfId="0" applyFont="1" applyBorder="1" applyAlignment="1">
      <alignment vertical="top" wrapText="1"/>
    </xf>
    <xf numFmtId="9" fontId="5" fillId="0" borderId="0" xfId="4" applyNumberFormat="1" applyFont="1" applyBorder="1" applyAlignment="1">
      <alignment vertical="top" wrapText="1"/>
    </xf>
    <xf numFmtId="0" fontId="5" fillId="0" borderId="0" xfId="0" applyFont="1" applyFill="1" applyBorder="1" applyAlignment="1">
      <alignment vertical="top" wrapText="1"/>
    </xf>
    <xf numFmtId="9" fontId="5" fillId="0" borderId="0" xfId="0" applyNumberFormat="1" applyFont="1" applyFill="1" applyAlignment="1">
      <alignment vertical="top" wrapText="1"/>
    </xf>
    <xf numFmtId="44" fontId="0" fillId="0" borderId="0" xfId="0" applyNumberFormat="1" applyAlignment="1">
      <alignment vertical="top"/>
    </xf>
    <xf numFmtId="9" fontId="5" fillId="0" borderId="0" xfId="0" applyNumberFormat="1" applyFont="1" applyFill="1" applyBorder="1" applyAlignment="1">
      <alignment vertical="top" wrapText="1"/>
    </xf>
    <xf numFmtId="0" fontId="5" fillId="4" borderId="0" xfId="0" applyFont="1" applyFill="1" applyAlignment="1">
      <alignment vertical="top" wrapText="1"/>
    </xf>
    <xf numFmtId="0" fontId="5" fillId="6" borderId="0" xfId="0" applyFont="1" applyFill="1" applyAlignment="1">
      <alignment vertical="top" wrapText="1"/>
    </xf>
    <xf numFmtId="0" fontId="0" fillId="0" borderId="0" xfId="0" applyAlignment="1">
      <alignment horizontal="right" vertical="top"/>
    </xf>
    <xf numFmtId="0" fontId="4" fillId="0" borderId="0" xfId="0" applyFont="1" applyAlignment="1">
      <alignment horizontal="center" vertical="top"/>
    </xf>
    <xf numFmtId="164" fontId="5" fillId="0" borderId="0" xfId="0" applyNumberFormat="1" applyFont="1" applyFill="1" applyBorder="1" applyAlignment="1">
      <alignment vertical="top" wrapText="1"/>
    </xf>
    <xf numFmtId="9" fontId="5" fillId="0" borderId="0" xfId="4" applyNumberFormat="1" applyFont="1" applyFill="1" applyBorder="1" applyAlignment="1">
      <alignment vertical="top" wrapText="1"/>
    </xf>
    <xf numFmtId="164" fontId="5" fillId="0" borderId="0" xfId="0" applyNumberFormat="1" applyFont="1" applyFill="1" applyAlignment="1">
      <alignment vertical="top" wrapText="1"/>
    </xf>
    <xf numFmtId="0" fontId="9" fillId="0" borderId="0" xfId="0" applyFont="1" applyAlignment="1">
      <alignment vertical="top"/>
    </xf>
    <xf numFmtId="0" fontId="9" fillId="0" borderId="0" xfId="0" applyFont="1" applyAlignment="1">
      <alignment horizontal="center" vertical="center"/>
    </xf>
    <xf numFmtId="0" fontId="9" fillId="0" borderId="0" xfId="0" applyFont="1" applyAlignment="1">
      <alignment horizontal="center" vertical="top"/>
    </xf>
    <xf numFmtId="164" fontId="5" fillId="0" borderId="0" xfId="0" applyNumberFormat="1" applyFont="1" applyBorder="1" applyAlignment="1">
      <alignment vertical="top" wrapText="1"/>
    </xf>
    <xf numFmtId="182" fontId="0" fillId="0" borderId="0" xfId="0" applyNumberFormat="1" applyAlignment="1">
      <alignment vertical="top"/>
    </xf>
    <xf numFmtId="164" fontId="12" fillId="0" borderId="0" xfId="0" applyNumberFormat="1" applyFont="1" applyFill="1" applyAlignment="1">
      <alignment vertical="top" wrapText="1"/>
    </xf>
    <xf numFmtId="0" fontId="12" fillId="0" borderId="0" xfId="0" applyFont="1" applyAlignment="1">
      <alignment vertical="top" wrapText="1"/>
    </xf>
    <xf numFmtId="0" fontId="5" fillId="7" borderId="2" xfId="0" applyFont="1" applyFill="1" applyBorder="1" applyAlignment="1">
      <alignment vertical="top" wrapText="1"/>
    </xf>
    <xf numFmtId="9" fontId="5" fillId="7" borderId="2" xfId="0" applyNumberFormat="1" applyFont="1" applyFill="1" applyBorder="1" applyAlignment="1">
      <alignment vertical="top" wrapText="1"/>
    </xf>
    <xf numFmtId="166" fontId="5" fillId="0" borderId="0" xfId="0" applyNumberFormat="1" applyFont="1" applyFill="1" applyAlignment="1">
      <alignment vertical="top" wrapText="1"/>
    </xf>
    <xf numFmtId="166" fontId="5" fillId="0" borderId="0" xfId="0" applyNumberFormat="1" applyFont="1" applyFill="1" applyAlignment="1">
      <alignment vertical="top"/>
    </xf>
    <xf numFmtId="166" fontId="5" fillId="0" borderId="0" xfId="0" applyNumberFormat="1" applyFont="1" applyFill="1" applyBorder="1" applyAlignment="1">
      <alignment vertical="top"/>
    </xf>
    <xf numFmtId="0" fontId="5" fillId="7" borderId="2" xfId="0" applyFont="1" applyFill="1" applyBorder="1" applyAlignment="1">
      <alignment horizontal="center" vertical="center"/>
    </xf>
    <xf numFmtId="164" fontId="6" fillId="7" borderId="2"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top"/>
    </xf>
    <xf numFmtId="0" fontId="5" fillId="0" borderId="0" xfId="0" applyNumberFormat="1" applyFont="1" applyFill="1" applyBorder="1" applyAlignment="1">
      <alignment horizontal="left" vertical="top"/>
    </xf>
    <xf numFmtId="0" fontId="5" fillId="0" borderId="0" xfId="0" applyFont="1" applyFill="1" applyBorder="1" applyAlignment="1">
      <alignment horizontal="left" vertical="top"/>
    </xf>
    <xf numFmtId="0" fontId="5" fillId="7" borderId="2" xfId="0" applyFont="1" applyFill="1" applyBorder="1"/>
    <xf numFmtId="166" fontId="5" fillId="0" borderId="0" xfId="4" applyNumberFormat="1" applyFont="1" applyFill="1" applyBorder="1" applyAlignment="1">
      <alignment horizontal="center" vertical="top" wrapText="1"/>
    </xf>
    <xf numFmtId="166" fontId="5" fillId="0" borderId="0" xfId="0" applyNumberFormat="1" applyFont="1" applyFill="1" applyBorder="1" applyAlignment="1">
      <alignment horizontal="center" vertical="top"/>
    </xf>
    <xf numFmtId="166" fontId="5" fillId="0" borderId="0" xfId="0" applyNumberFormat="1" applyFont="1" applyFill="1" applyBorder="1" applyAlignment="1">
      <alignment horizontal="center" vertical="top" wrapText="1"/>
    </xf>
    <xf numFmtId="166" fontId="5" fillId="7" borderId="2" xfId="0" applyNumberFormat="1" applyFont="1" applyFill="1" applyBorder="1" applyAlignment="1">
      <alignment horizontal="center" vertical="top" wrapText="1"/>
    </xf>
    <xf numFmtId="0" fontId="13" fillId="0" borderId="0" xfId="0" applyNumberFormat="1" applyFont="1" applyFill="1" applyAlignment="1">
      <alignment horizontal="center" vertical="top"/>
    </xf>
    <xf numFmtId="0" fontId="5" fillId="0" borderId="0" xfId="0" applyNumberFormat="1" applyFont="1" applyFill="1" applyAlignment="1">
      <alignment horizontal="left" vertical="top"/>
    </xf>
    <xf numFmtId="0" fontId="5" fillId="0" borderId="0" xfId="0" applyFont="1" applyFill="1" applyAlignment="1">
      <alignment horizontal="left" vertical="top"/>
    </xf>
    <xf numFmtId="166" fontId="5" fillId="0" borderId="0" xfId="0" applyNumberFormat="1" applyFont="1" applyFill="1" applyAlignment="1">
      <alignment horizontal="center" vertical="top" wrapText="1"/>
    </xf>
    <xf numFmtId="166" fontId="5" fillId="0" borderId="0" xfId="0" applyNumberFormat="1" applyFont="1" applyFill="1" applyAlignment="1">
      <alignment horizontal="center" vertical="top"/>
    </xf>
    <xf numFmtId="166" fontId="5" fillId="5" borderId="0" xfId="0" applyNumberFormat="1" applyFont="1" applyFill="1" applyAlignment="1">
      <alignment horizontal="center" vertical="top" wrapText="1"/>
    </xf>
    <xf numFmtId="166" fontId="5" fillId="0" borderId="0" xfId="0" applyNumberFormat="1" applyFont="1" applyAlignment="1">
      <alignment horizontal="center" vertical="top" wrapText="1"/>
    </xf>
    <xf numFmtId="167" fontId="5" fillId="5" borderId="0" xfId="0" applyNumberFormat="1" applyFont="1" applyFill="1" applyAlignment="1">
      <alignment horizontal="center" vertical="top" wrapText="1"/>
    </xf>
    <xf numFmtId="168" fontId="5" fillId="0" borderId="0" xfId="0" applyNumberFormat="1" applyFont="1" applyFill="1" applyAlignment="1">
      <alignment horizontal="center" vertical="top" wrapText="1"/>
    </xf>
    <xf numFmtId="171" fontId="5" fillId="0" borderId="0" xfId="0" applyNumberFormat="1" applyFont="1" applyFill="1" applyAlignment="1">
      <alignment horizontal="center" vertical="top"/>
    </xf>
    <xf numFmtId="171" fontId="5" fillId="7" borderId="2" xfId="0" applyNumberFormat="1" applyFont="1" applyFill="1" applyBorder="1" applyAlignment="1">
      <alignment horizontal="center" vertical="top"/>
    </xf>
    <xf numFmtId="167" fontId="5" fillId="0" borderId="0" xfId="0" applyNumberFormat="1" applyFont="1" applyFill="1" applyAlignment="1">
      <alignment horizontal="center" vertical="top" wrapText="1"/>
    </xf>
    <xf numFmtId="174" fontId="5" fillId="7" borderId="2" xfId="0" applyNumberFormat="1" applyFont="1" applyFill="1" applyBorder="1" applyAlignment="1">
      <alignment horizontal="center" vertical="top" wrapText="1"/>
    </xf>
    <xf numFmtId="166" fontId="5" fillId="0" borderId="0" xfId="0" applyNumberFormat="1" applyFont="1" applyAlignment="1">
      <alignment horizontal="center" vertical="top"/>
    </xf>
    <xf numFmtId="9" fontId="5" fillId="0" borderId="0" xfId="4" applyFont="1" applyAlignment="1">
      <alignment horizontal="center" vertical="top"/>
    </xf>
    <xf numFmtId="169" fontId="5" fillId="0" borderId="0" xfId="0" applyNumberFormat="1" applyFont="1" applyAlignment="1">
      <alignment horizontal="center" vertical="top" wrapText="1"/>
    </xf>
    <xf numFmtId="170" fontId="5" fillId="0" borderId="0" xfId="0" applyNumberFormat="1" applyFont="1" applyAlignment="1">
      <alignment horizontal="center" vertical="top" wrapText="1"/>
    </xf>
    <xf numFmtId="170" fontId="5" fillId="7" borderId="2" xfId="0" applyNumberFormat="1" applyFont="1" applyFill="1" applyBorder="1" applyAlignment="1">
      <alignment horizontal="center" vertical="top" wrapText="1"/>
    </xf>
    <xf numFmtId="172" fontId="5" fillId="0" borderId="0" xfId="0" applyNumberFormat="1" applyFont="1" applyAlignment="1">
      <alignment horizontal="center" vertical="top" wrapText="1"/>
    </xf>
    <xf numFmtId="169" fontId="5" fillId="0" borderId="0" xfId="0" applyNumberFormat="1" applyFont="1" applyBorder="1" applyAlignment="1">
      <alignment horizontal="center" vertical="top" wrapText="1"/>
    </xf>
    <xf numFmtId="172" fontId="5" fillId="7" borderId="2" xfId="0" applyNumberFormat="1" applyFont="1" applyFill="1" applyBorder="1" applyAlignment="1">
      <alignment horizontal="center" vertical="top" wrapText="1"/>
    </xf>
    <xf numFmtId="173" fontId="5" fillId="7" borderId="2" xfId="0" applyNumberFormat="1" applyFont="1" applyFill="1" applyBorder="1" applyAlignment="1">
      <alignment horizontal="center" vertical="top" wrapText="1"/>
    </xf>
    <xf numFmtId="173" fontId="5" fillId="0" borderId="0" xfId="0" applyNumberFormat="1" applyFont="1" applyAlignment="1">
      <alignment horizontal="center" vertical="top" wrapText="1"/>
    </xf>
    <xf numFmtId="9" fontId="5" fillId="0" borderId="0" xfId="4" applyFont="1" applyAlignment="1">
      <alignment horizontal="center" vertical="top" wrapText="1"/>
    </xf>
    <xf numFmtId="173" fontId="5" fillId="0" borderId="0" xfId="0" applyNumberFormat="1" applyFont="1" applyAlignment="1">
      <alignment horizontal="center" vertical="top"/>
    </xf>
    <xf numFmtId="173" fontId="5" fillId="7" borderId="2" xfId="0" applyNumberFormat="1" applyFont="1" applyFill="1" applyBorder="1" applyAlignment="1">
      <alignment horizontal="center" vertical="top"/>
    </xf>
    <xf numFmtId="173" fontId="5" fillId="0" borderId="0" xfId="0" applyNumberFormat="1" applyFont="1" applyFill="1" applyAlignment="1">
      <alignment horizontal="center" vertical="top"/>
    </xf>
    <xf numFmtId="184" fontId="5" fillId="0" borderId="0" xfId="0" applyNumberFormat="1" applyFont="1" applyFill="1" applyAlignment="1">
      <alignment horizontal="center" vertical="top"/>
    </xf>
    <xf numFmtId="184" fontId="5" fillId="0" borderId="0" xfId="0" applyNumberFormat="1" applyFont="1" applyFill="1" applyAlignment="1">
      <alignment horizontal="center" vertical="top" wrapText="1"/>
    </xf>
    <xf numFmtId="183" fontId="5" fillId="0" borderId="0" xfId="0" applyNumberFormat="1" applyFont="1" applyAlignment="1">
      <alignment horizontal="center" vertical="top"/>
    </xf>
    <xf numFmtId="9" fontId="5" fillId="0" borderId="0" xfId="4" applyFont="1" applyFill="1" applyAlignment="1">
      <alignment horizontal="center" vertical="top" wrapText="1"/>
    </xf>
    <xf numFmtId="9" fontId="5" fillId="0" borderId="0" xfId="4" applyFont="1" applyFill="1" applyAlignment="1">
      <alignment horizontal="center" vertical="top"/>
    </xf>
    <xf numFmtId="166" fontId="5" fillId="7" borderId="2" xfId="0" applyNumberFormat="1" applyFont="1" applyFill="1" applyBorder="1" applyAlignment="1">
      <alignment horizontal="center" vertical="top"/>
    </xf>
    <xf numFmtId="166" fontId="5" fillId="0" borderId="0" xfId="0" applyNumberFormat="1" applyFont="1" applyBorder="1" applyAlignment="1">
      <alignment horizontal="center" vertical="top" wrapText="1"/>
    </xf>
    <xf numFmtId="166" fontId="5" fillId="0" borderId="0" xfId="0" applyNumberFormat="1" applyFont="1" applyBorder="1" applyAlignment="1">
      <alignment horizontal="center" vertical="top"/>
    </xf>
    <xf numFmtId="164" fontId="6" fillId="7" borderId="1"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top" wrapText="1"/>
    </xf>
    <xf numFmtId="164" fontId="5" fillId="7" borderId="1" xfId="0" applyNumberFormat="1" applyFont="1" applyFill="1" applyBorder="1" applyAlignment="1">
      <alignment horizontal="center" vertical="top" wrapText="1"/>
    </xf>
    <xf numFmtId="0" fontId="5" fillId="0" borderId="0" xfId="0" applyNumberFormat="1" applyFont="1" applyBorder="1" applyAlignment="1">
      <alignment vertical="top"/>
    </xf>
    <xf numFmtId="0" fontId="5" fillId="0" borderId="0" xfId="0" applyNumberFormat="1" applyFont="1" applyBorder="1" applyAlignment="1">
      <alignment horizontal="left" vertical="top"/>
    </xf>
    <xf numFmtId="164" fontId="5" fillId="0" borderId="0" xfId="0" applyNumberFormat="1" applyFont="1" applyBorder="1" applyAlignment="1">
      <alignment horizontal="center" vertical="top" wrapText="1"/>
    </xf>
    <xf numFmtId="164" fontId="5" fillId="0" borderId="0" xfId="0" applyNumberFormat="1" applyFont="1" applyAlignment="1">
      <alignment horizontal="center" vertical="top" wrapText="1"/>
    </xf>
    <xf numFmtId="0" fontId="5" fillId="0" borderId="0" xfId="4" applyNumberFormat="1" applyFont="1" applyBorder="1" applyAlignment="1">
      <alignment vertical="top"/>
    </xf>
    <xf numFmtId="9" fontId="5" fillId="0" borderId="0" xfId="4" applyNumberFormat="1" applyFont="1" applyBorder="1" applyAlignment="1">
      <alignment horizontal="center" vertical="top" wrapText="1"/>
    </xf>
    <xf numFmtId="0" fontId="5" fillId="3" borderId="0" xfId="0" applyNumberFormat="1" applyFont="1" applyFill="1" applyAlignment="1">
      <alignment horizontal="left" vertical="top"/>
    </xf>
    <xf numFmtId="166" fontId="5" fillId="3" borderId="0" xfId="0" applyNumberFormat="1" applyFont="1" applyFill="1" applyAlignment="1">
      <alignment horizontal="center" vertical="top" wrapText="1"/>
    </xf>
    <xf numFmtId="0" fontId="5" fillId="0" borderId="0" xfId="0" applyNumberFormat="1" applyFont="1" applyAlignment="1">
      <alignment vertical="top"/>
    </xf>
    <xf numFmtId="0" fontId="5" fillId="0" borderId="0" xfId="0" applyNumberFormat="1" applyFont="1" applyAlignment="1">
      <alignment horizontal="left" vertical="top"/>
    </xf>
    <xf numFmtId="0" fontId="5" fillId="4" borderId="0" xfId="0" applyNumberFormat="1" applyFont="1" applyFill="1" applyAlignment="1">
      <alignment horizontal="left" vertical="top"/>
    </xf>
    <xf numFmtId="0" fontId="5" fillId="4" borderId="0" xfId="0" applyFont="1" applyFill="1" applyAlignment="1">
      <alignment horizontal="left" vertical="top"/>
    </xf>
    <xf numFmtId="166" fontId="5" fillId="4" borderId="0" xfId="0" applyNumberFormat="1" applyFont="1" applyFill="1" applyAlignment="1">
      <alignment horizontal="center" vertical="top" wrapText="1"/>
    </xf>
    <xf numFmtId="0" fontId="5" fillId="4" borderId="0" xfId="0" applyNumberFormat="1" applyFont="1" applyFill="1" applyAlignment="1">
      <alignment horizontal="center" vertical="top" wrapText="1"/>
    </xf>
    <xf numFmtId="44" fontId="5" fillId="4" borderId="0" xfId="0" applyNumberFormat="1" applyFont="1" applyFill="1" applyAlignment="1">
      <alignment horizontal="center" vertical="top" wrapText="1"/>
    </xf>
    <xf numFmtId="44" fontId="15" fillId="4"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44" fontId="5" fillId="0" borderId="0" xfId="0" applyNumberFormat="1" applyFont="1" applyFill="1" applyAlignment="1">
      <alignment horizontal="center" vertical="top" wrapText="1"/>
    </xf>
    <xf numFmtId="44" fontId="15" fillId="0" borderId="0" xfId="0" applyNumberFormat="1" applyFont="1" applyFill="1" applyAlignment="1">
      <alignment horizontal="center" vertical="top" wrapText="1"/>
    </xf>
    <xf numFmtId="0" fontId="13" fillId="0" borderId="0" xfId="0" applyNumberFormat="1" applyFont="1" applyAlignment="1">
      <alignment horizontal="center" vertical="top"/>
    </xf>
    <xf numFmtId="0" fontId="5" fillId="0" borderId="0" xfId="0" applyFont="1" applyAlignment="1">
      <alignment horizontal="left" vertical="top"/>
    </xf>
    <xf numFmtId="0" fontId="5" fillId="3" borderId="0" xfId="0" applyFont="1" applyFill="1" applyAlignment="1">
      <alignment horizontal="left" vertical="top"/>
    </xf>
    <xf numFmtId="0" fontId="5" fillId="3" borderId="0" xfId="0" applyNumberFormat="1" applyFont="1" applyFill="1" applyAlignment="1">
      <alignment horizontal="center" vertical="top" wrapText="1"/>
    </xf>
    <xf numFmtId="44" fontId="5" fillId="3" borderId="0" xfId="0" applyNumberFormat="1" applyFont="1" applyFill="1" applyAlignment="1">
      <alignment horizontal="center" vertical="top" wrapText="1"/>
    </xf>
    <xf numFmtId="44" fontId="15" fillId="3" borderId="0" xfId="0" applyNumberFormat="1" applyFont="1" applyFill="1" applyAlignment="1">
      <alignment horizontal="center" vertical="top" wrapText="1"/>
    </xf>
    <xf numFmtId="0" fontId="5" fillId="6" borderId="0" xfId="0" applyNumberFormat="1" applyFont="1" applyFill="1" applyAlignment="1">
      <alignment horizontal="left" vertical="top"/>
    </xf>
    <xf numFmtId="0" fontId="5" fillId="6" borderId="0" xfId="0" applyFont="1" applyFill="1" applyAlignment="1">
      <alignment horizontal="left" vertical="top"/>
    </xf>
    <xf numFmtId="166" fontId="5" fillId="6" borderId="0" xfId="0" applyNumberFormat="1" applyFont="1" applyFill="1" applyAlignment="1">
      <alignment horizontal="center" vertical="top" wrapText="1"/>
    </xf>
    <xf numFmtId="0" fontId="5" fillId="6" borderId="0" xfId="0" applyNumberFormat="1" applyFont="1" applyFill="1" applyAlignment="1">
      <alignment horizontal="center" vertical="top" wrapText="1"/>
    </xf>
    <xf numFmtId="44" fontId="5" fillId="6" borderId="0" xfId="0" applyNumberFormat="1" applyFont="1" applyFill="1" applyAlignment="1">
      <alignment horizontal="center" vertical="top" wrapText="1"/>
    </xf>
    <xf numFmtId="44" fontId="15" fillId="6" borderId="0" xfId="0" applyNumberFormat="1" applyFont="1" applyFill="1" applyAlignment="1">
      <alignment horizontal="center" vertical="top" wrapText="1"/>
    </xf>
    <xf numFmtId="0" fontId="7" fillId="0" borderId="0" xfId="0" applyFont="1" applyAlignment="1">
      <alignment vertical="top"/>
    </xf>
    <xf numFmtId="0" fontId="6" fillId="7" borderId="2" xfId="0" applyFont="1" applyFill="1" applyBorder="1" applyAlignment="1">
      <alignment horizontal="center" vertical="center" wrapText="1"/>
    </xf>
    <xf numFmtId="0" fontId="13" fillId="0" borderId="0" xfId="0" applyFont="1" applyBorder="1" applyAlignment="1">
      <alignment horizontal="center" vertical="top" wrapText="1"/>
    </xf>
    <xf numFmtId="0" fontId="5" fillId="0" borderId="0" xfId="0" applyFont="1" applyBorder="1" applyAlignment="1">
      <alignment horizontal="left" vertical="top" wrapText="1"/>
    </xf>
    <xf numFmtId="0" fontId="5" fillId="0" borderId="0" xfId="0" applyFont="1" applyBorder="1" applyAlignment="1">
      <alignment vertical="top"/>
    </xf>
    <xf numFmtId="0" fontId="5" fillId="0" borderId="0" xfId="0" applyFont="1" applyBorder="1" applyAlignment="1">
      <alignment horizontal="center" vertical="top" wrapText="1"/>
    </xf>
    <xf numFmtId="164" fontId="5" fillId="7" borderId="2" xfId="0" applyNumberFormat="1" applyFont="1" applyFill="1" applyBorder="1" applyAlignment="1">
      <alignment horizontal="center" vertical="top" wrapText="1"/>
    </xf>
    <xf numFmtId="44" fontId="5" fillId="0" borderId="0" xfId="6" applyFont="1" applyFill="1" applyBorder="1" applyAlignment="1">
      <alignment horizontal="center" vertical="top" wrapText="1"/>
    </xf>
    <xf numFmtId="44" fontId="5" fillId="0" borderId="0" xfId="6" applyFont="1" applyBorder="1" applyAlignment="1">
      <alignment horizontal="center" vertical="top" wrapText="1"/>
    </xf>
    <xf numFmtId="44" fontId="13" fillId="0" borderId="0" xfId="6" applyFont="1" applyBorder="1" applyAlignment="1">
      <alignment horizontal="center" vertical="top" wrapText="1"/>
    </xf>
    <xf numFmtId="44" fontId="12" fillId="0" borderId="0" xfId="6" applyFont="1" applyBorder="1" applyAlignment="1">
      <alignment horizontal="center" vertical="top" wrapText="1"/>
    </xf>
    <xf numFmtId="44" fontId="13" fillId="0" borderId="0" xfId="6" applyFont="1" applyFill="1" applyBorder="1" applyAlignment="1">
      <alignment horizontal="center" vertical="top" wrapText="1"/>
    </xf>
    <xf numFmtId="44" fontId="12" fillId="0" borderId="0" xfId="6" applyFont="1" applyFill="1" applyBorder="1" applyAlignment="1">
      <alignment horizontal="center" vertical="top" wrapText="1"/>
    </xf>
    <xf numFmtId="180" fontId="5" fillId="0" borderId="0" xfId="0" applyNumberFormat="1" applyFont="1" applyFill="1" applyBorder="1" applyAlignment="1">
      <alignment horizontal="center" vertical="top" wrapText="1"/>
    </xf>
    <xf numFmtId="172" fontId="5"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vertical="top" wrapText="1"/>
    </xf>
    <xf numFmtId="173" fontId="5" fillId="0" borderId="0" xfId="0" applyNumberFormat="1" applyFont="1" applyFill="1" applyBorder="1" applyAlignment="1">
      <alignment horizontal="center" vertical="top" wrapText="1"/>
    </xf>
    <xf numFmtId="188" fontId="5" fillId="0" borderId="0" xfId="6" applyNumberFormat="1" applyFont="1" applyFill="1" applyBorder="1" applyAlignment="1">
      <alignment horizontal="center" vertical="top" wrapText="1"/>
    </xf>
    <xf numFmtId="0" fontId="5" fillId="0" borderId="0" xfId="0" applyNumberFormat="1" applyFont="1" applyFill="1" applyBorder="1" applyAlignment="1">
      <alignment horizontal="center" vertical="top" wrapText="1"/>
    </xf>
    <xf numFmtId="44" fontId="5" fillId="0" borderId="0" xfId="6" applyFont="1" applyFill="1" applyAlignment="1">
      <alignment horizontal="center" vertical="top" wrapText="1"/>
    </xf>
    <xf numFmtId="44" fontId="5" fillId="0" borderId="0" xfId="6" quotePrefix="1" applyFont="1" applyFill="1" applyAlignment="1">
      <alignment horizontal="center" vertical="top" wrapText="1"/>
    </xf>
    <xf numFmtId="179" fontId="5" fillId="0" borderId="0" xfId="0" applyNumberFormat="1" applyFont="1" applyFill="1" applyBorder="1" applyAlignment="1">
      <alignment horizontal="center" vertical="top" wrapText="1"/>
    </xf>
    <xf numFmtId="44" fontId="5" fillId="0" borderId="0" xfId="6" applyFont="1" applyFill="1" applyAlignment="1">
      <alignment horizontal="center" vertical="top"/>
    </xf>
    <xf numFmtId="44" fontId="13" fillId="0" borderId="0" xfId="6" applyFont="1" applyFill="1" applyAlignment="1">
      <alignment horizontal="center" vertical="top" wrapText="1"/>
    </xf>
    <xf numFmtId="185" fontId="5" fillId="0" borderId="0" xfId="6" applyNumberFormat="1" applyFont="1" applyFill="1" applyAlignment="1">
      <alignment horizontal="center" vertical="top" wrapText="1"/>
    </xf>
    <xf numFmtId="44" fontId="13" fillId="0" borderId="0" xfId="6" applyFont="1" applyFill="1" applyAlignment="1">
      <alignment horizontal="center" vertical="top"/>
    </xf>
    <xf numFmtId="44" fontId="5" fillId="7" borderId="2" xfId="6" applyFont="1" applyFill="1" applyBorder="1" applyAlignment="1">
      <alignment horizontal="center" vertical="top" wrapText="1"/>
    </xf>
    <xf numFmtId="186" fontId="5" fillId="0" borderId="0" xfId="6" applyNumberFormat="1" applyFont="1" applyFill="1" applyAlignment="1">
      <alignment horizontal="center" vertical="top" wrapText="1"/>
    </xf>
    <xf numFmtId="178" fontId="5" fillId="0" borderId="0" xfId="6" applyNumberFormat="1" applyFont="1" applyFill="1" applyAlignment="1">
      <alignment horizontal="center" vertical="top" wrapText="1"/>
    </xf>
    <xf numFmtId="177" fontId="5" fillId="0" borderId="0" xfId="0" applyNumberFormat="1" applyFont="1" applyFill="1" applyAlignment="1">
      <alignment horizontal="center" vertical="top" wrapText="1"/>
    </xf>
    <xf numFmtId="177" fontId="5" fillId="7" borderId="2" xfId="0" applyNumberFormat="1" applyFont="1" applyFill="1" applyBorder="1" applyAlignment="1">
      <alignment horizontal="center" vertical="top" wrapText="1"/>
    </xf>
    <xf numFmtId="172" fontId="5" fillId="0" borderId="0" xfId="0" applyNumberFormat="1" applyFont="1" applyFill="1" applyAlignment="1">
      <alignment horizontal="center" vertical="top"/>
    </xf>
    <xf numFmtId="44" fontId="5" fillId="7" borderId="2" xfId="6" applyFont="1" applyFill="1" applyBorder="1" applyAlignment="1">
      <alignment horizontal="center" vertical="top"/>
    </xf>
    <xf numFmtId="187" fontId="5" fillId="0" borderId="0" xfId="6" applyNumberFormat="1" applyFont="1" applyFill="1" applyAlignment="1">
      <alignment horizontal="center" vertical="top" wrapText="1"/>
    </xf>
    <xf numFmtId="166" fontId="5" fillId="0" borderId="0" xfId="4" applyNumberFormat="1" applyFont="1" applyFill="1" applyAlignment="1">
      <alignment horizontal="center" vertical="top" wrapText="1"/>
    </xf>
    <xf numFmtId="181" fontId="5" fillId="0" borderId="0" xfId="6" applyNumberFormat="1" applyFont="1" applyFill="1" applyAlignment="1">
      <alignment horizontal="center" vertical="top"/>
    </xf>
    <xf numFmtId="176" fontId="5" fillId="7" borderId="2" xfId="0" applyNumberFormat="1" applyFont="1" applyFill="1" applyBorder="1" applyAlignment="1">
      <alignment horizontal="center" vertical="top" wrapText="1"/>
    </xf>
    <xf numFmtId="166" fontId="5" fillId="0" borderId="0" xfId="4" applyNumberFormat="1" applyFont="1" applyFill="1" applyAlignment="1">
      <alignment horizontal="center" vertical="top"/>
    </xf>
    <xf numFmtId="44" fontId="5" fillId="0" borderId="0" xfId="6" applyFont="1" applyFill="1" applyBorder="1" applyAlignment="1">
      <alignment horizontal="center" vertical="top"/>
    </xf>
    <xf numFmtId="0" fontId="6" fillId="0" borderId="0" xfId="0" applyFont="1" applyBorder="1" applyAlignment="1">
      <alignment horizontal="center" vertical="center"/>
    </xf>
    <xf numFmtId="0" fontId="5" fillId="0" borderId="0" xfId="0" applyFont="1" applyBorder="1" applyAlignment="1">
      <alignment horizontal="center" vertical="top"/>
    </xf>
    <xf numFmtId="0" fontId="5" fillId="0" borderId="0" xfId="0" applyFont="1" applyBorder="1" applyAlignment="1">
      <alignment horizontal="left" vertical="top"/>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wrapText="1"/>
    </xf>
    <xf numFmtId="10" fontId="5" fillId="0" borderId="0" xfId="4" applyNumberFormat="1" applyFont="1" applyBorder="1" applyAlignment="1">
      <alignment horizontal="center" vertical="top" wrapText="1"/>
    </xf>
    <xf numFmtId="165" fontId="6" fillId="0" borderId="0" xfId="0" applyNumberFormat="1" applyFont="1" applyBorder="1" applyAlignment="1">
      <alignment horizontal="center" vertical="center"/>
    </xf>
    <xf numFmtId="165" fontId="5" fillId="0" borderId="0" xfId="0" applyNumberFormat="1" applyFont="1" applyBorder="1" applyAlignment="1">
      <alignment horizontal="center" vertical="top"/>
    </xf>
    <xf numFmtId="165" fontId="5" fillId="0" borderId="0" xfId="0" applyNumberFormat="1" applyFont="1" applyAlignment="1">
      <alignment horizontal="center" vertical="top"/>
    </xf>
    <xf numFmtId="0" fontId="13" fillId="0" borderId="0" xfId="0" applyNumberFormat="1" applyFont="1" applyBorder="1" applyAlignment="1">
      <alignment horizontal="center" vertical="top"/>
    </xf>
    <xf numFmtId="164" fontId="5" fillId="0" borderId="0" xfId="4" applyNumberFormat="1" applyFont="1" applyFill="1" applyBorder="1" applyAlignment="1">
      <alignment vertical="top" wrapText="1"/>
    </xf>
    <xf numFmtId="44" fontId="5" fillId="0" borderId="0" xfId="0" applyNumberFormat="1" applyFont="1" applyBorder="1" applyAlignment="1">
      <alignment horizontal="center" vertical="top" wrapText="1"/>
    </xf>
    <xf numFmtId="44" fontId="5" fillId="0" borderId="0" xfId="0" applyNumberFormat="1" applyFont="1" applyAlignment="1">
      <alignment horizontal="center" vertical="top" wrapText="1"/>
    </xf>
    <xf numFmtId="9" fontId="5" fillId="0" borderId="0" xfId="0" applyNumberFormat="1" applyFont="1" applyBorder="1" applyAlignment="1">
      <alignment horizontal="center" vertical="top" wrapText="1"/>
    </xf>
    <xf numFmtId="189" fontId="5" fillId="0" borderId="0" xfId="6" applyNumberFormat="1" applyFont="1" applyFill="1" applyAlignment="1">
      <alignment horizontal="center" vertical="top" wrapText="1"/>
    </xf>
    <xf numFmtId="190" fontId="5" fillId="0" borderId="0" xfId="0" applyNumberFormat="1" applyFont="1" applyFill="1" applyAlignment="1">
      <alignment horizontal="center" vertical="top"/>
    </xf>
    <xf numFmtId="44" fontId="5" fillId="0" borderId="0" xfId="0" applyNumberFormat="1" applyFont="1" applyFill="1" applyBorder="1" applyAlignment="1">
      <alignment horizontal="center" vertical="top" wrapText="1"/>
    </xf>
    <xf numFmtId="0" fontId="13" fillId="0" borderId="0" xfId="4" applyNumberFormat="1" applyFont="1" applyBorder="1" applyAlignment="1">
      <alignment horizontal="center" vertical="top"/>
    </xf>
    <xf numFmtId="0" fontId="13" fillId="0" borderId="0" xfId="0" applyFont="1" applyBorder="1" applyAlignment="1">
      <alignment horizontal="center" vertical="top"/>
    </xf>
    <xf numFmtId="0" fontId="13" fillId="0" borderId="0" xfId="0" applyFont="1" applyAlignment="1">
      <alignment horizontal="center" vertical="top"/>
    </xf>
    <xf numFmtId="44" fontId="0" fillId="0" borderId="0" xfId="0" applyNumberFormat="1" applyAlignment="1">
      <alignment horizontal="center" vertical="center"/>
    </xf>
    <xf numFmtId="44" fontId="5" fillId="0" borderId="0" xfId="6" applyFont="1" applyAlignment="1">
      <alignment vertical="top"/>
    </xf>
    <xf numFmtId="0" fontId="5" fillId="0" borderId="0" xfId="0" applyFont="1" applyAlignment="1">
      <alignment horizontal="center" vertical="top" wrapText="1"/>
    </xf>
    <xf numFmtId="0" fontId="9" fillId="0" borderId="0" xfId="0" applyFont="1" applyFill="1" applyAlignment="1">
      <alignment vertical="top"/>
    </xf>
    <xf numFmtId="0" fontId="0" fillId="0" borderId="0" xfId="0" applyNumberFormat="1" applyAlignment="1">
      <alignment horizontal="center" vertical="top"/>
    </xf>
    <xf numFmtId="0" fontId="4" fillId="0" borderId="0" xfId="0" applyNumberFormat="1" applyFont="1" applyAlignment="1">
      <alignment vertical="top"/>
    </xf>
    <xf numFmtId="0" fontId="9" fillId="0" borderId="0" xfId="0" applyNumberFormat="1" applyFont="1" applyAlignment="1">
      <alignment vertical="top"/>
    </xf>
    <xf numFmtId="0" fontId="7" fillId="0" borderId="0" xfId="0" applyNumberFormat="1" applyFont="1" applyAlignment="1">
      <alignment vertical="top"/>
    </xf>
    <xf numFmtId="0" fontId="0" fillId="0" borderId="0" xfId="0" applyNumberFormat="1" applyAlignment="1">
      <alignment vertical="top" wrapText="1"/>
    </xf>
    <xf numFmtId="0" fontId="0" fillId="0" borderId="0" xfId="0" applyNumberFormat="1" applyBorder="1" applyAlignment="1">
      <alignment vertical="top" wrapText="1"/>
    </xf>
    <xf numFmtId="0" fontId="0" fillId="0" borderId="0" xfId="0" applyNumberFormat="1" applyBorder="1" applyAlignment="1">
      <alignment horizontal="center" vertical="top"/>
    </xf>
    <xf numFmtId="0" fontId="0" fillId="0" borderId="0" xfId="0" applyNumberFormat="1" applyAlignment="1">
      <alignment vertical="top"/>
    </xf>
    <xf numFmtId="0" fontId="0" fillId="0" borderId="3" xfId="0" applyNumberFormat="1" applyBorder="1" applyAlignment="1">
      <alignment horizontal="center" vertical="top" wrapText="1"/>
    </xf>
    <xf numFmtId="44" fontId="0" fillId="0" borderId="4" xfId="6" applyNumberFormat="1" applyFont="1" applyBorder="1" applyAlignment="1">
      <alignment horizontal="center" vertical="top"/>
    </xf>
    <xf numFmtId="164"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9" fontId="5" fillId="0" borderId="1" xfId="4" applyNumberFormat="1" applyFont="1" applyFill="1" applyBorder="1" applyAlignment="1">
      <alignment horizontal="center" vertical="top" wrapText="1"/>
    </xf>
    <xf numFmtId="164" fontId="19" fillId="0" borderId="0" xfId="7" applyNumberFormat="1" applyBorder="1" applyAlignment="1">
      <alignment vertical="top" wrapText="1"/>
    </xf>
    <xf numFmtId="44" fontId="12" fillId="4" borderId="0" xfId="0" applyNumberFormat="1" applyFont="1" applyFill="1" applyAlignment="1">
      <alignment horizontal="center" vertical="top" wrapText="1"/>
    </xf>
    <xf numFmtId="44" fontId="12" fillId="0" borderId="0" xfId="0" applyNumberFormat="1" applyFont="1" applyFill="1" applyAlignment="1">
      <alignment horizontal="center" vertical="top" wrapText="1"/>
    </xf>
    <xf numFmtId="44" fontId="12" fillId="3" borderId="0" xfId="0" applyNumberFormat="1" applyFont="1" applyFill="1" applyAlignment="1">
      <alignment horizontal="center" vertical="top" wrapText="1"/>
    </xf>
    <xf numFmtId="44" fontId="12" fillId="6" borderId="0" xfId="0" applyNumberFormat="1" applyFont="1" applyFill="1" applyAlignment="1">
      <alignment horizontal="center" vertical="top" wrapText="1"/>
    </xf>
    <xf numFmtId="164" fontId="5" fillId="0" borderId="0" xfId="0" applyNumberFormat="1" applyFont="1" applyAlignment="1">
      <alignment vertical="top" wrapText="1"/>
    </xf>
    <xf numFmtId="44" fontId="5" fillId="0" borderId="0" xfId="6" applyFont="1" applyBorder="1" applyAlignment="1">
      <alignment horizontal="center" vertical="center"/>
    </xf>
    <xf numFmtId="0" fontId="0" fillId="0" borderId="0" xfId="0" applyBorder="1" applyAlignment="1">
      <alignment horizontal="center" vertical="center"/>
    </xf>
    <xf numFmtId="44" fontId="5" fillId="0" borderId="0" xfId="6" applyFont="1" applyBorder="1" applyAlignment="1">
      <alignment vertical="top"/>
    </xf>
    <xf numFmtId="0" fontId="0" fillId="0" borderId="0" xfId="0" applyBorder="1" applyAlignment="1">
      <alignment vertical="top"/>
    </xf>
    <xf numFmtId="0" fontId="6" fillId="8" borderId="0" xfId="0" applyFont="1" applyFill="1" applyBorder="1" applyAlignment="1">
      <alignment horizontal="center" vertical="center" wrapText="1"/>
    </xf>
    <xf numFmtId="164" fontId="6" fillId="8" borderId="0" xfId="0" applyNumberFormat="1" applyFont="1" applyFill="1" applyBorder="1" applyAlignment="1">
      <alignment horizontal="center" vertical="center" wrapText="1"/>
    </xf>
    <xf numFmtId="166" fontId="5" fillId="9" borderId="0" xfId="0" applyNumberFormat="1" applyFont="1" applyFill="1" applyBorder="1" applyAlignment="1">
      <alignment horizontal="center" vertical="top" wrapText="1"/>
    </xf>
    <xf numFmtId="166" fontId="5" fillId="9" borderId="0" xfId="0" applyNumberFormat="1" applyFont="1" applyFill="1" applyAlignment="1">
      <alignment horizontal="center" vertical="top" wrapText="1"/>
    </xf>
    <xf numFmtId="166" fontId="5" fillId="10" borderId="0" xfId="0" applyNumberFormat="1" applyFont="1" applyFill="1" applyBorder="1" applyAlignment="1">
      <alignment horizontal="center" vertical="top" wrapText="1"/>
    </xf>
    <xf numFmtId="0" fontId="5" fillId="10" borderId="0" xfId="0" applyFont="1" applyFill="1" applyBorder="1" applyAlignment="1">
      <alignment vertical="top" wrapText="1"/>
    </xf>
    <xf numFmtId="0" fontId="13" fillId="10" borderId="0" xfId="0" applyNumberFormat="1" applyFont="1" applyFill="1" applyBorder="1" applyAlignment="1">
      <alignment horizontal="center" vertical="top"/>
    </xf>
    <xf numFmtId="166" fontId="5" fillId="10" borderId="0" xfId="4" applyNumberFormat="1" applyFont="1" applyFill="1" applyBorder="1" applyAlignment="1">
      <alignment horizontal="center" vertical="top" wrapText="1"/>
    </xf>
    <xf numFmtId="0" fontId="13" fillId="10" borderId="0" xfId="0" applyNumberFormat="1" applyFont="1" applyFill="1" applyAlignment="1">
      <alignment horizontal="center" vertical="top"/>
    </xf>
    <xf numFmtId="0" fontId="5" fillId="10" borderId="0" xfId="0" applyFont="1" applyFill="1" applyAlignment="1">
      <alignment vertical="top" wrapText="1"/>
    </xf>
    <xf numFmtId="166" fontId="5" fillId="10" borderId="0" xfId="0" applyNumberFormat="1" applyFont="1" applyFill="1" applyAlignment="1">
      <alignment horizontal="center" vertical="top" wrapText="1"/>
    </xf>
    <xf numFmtId="0" fontId="5" fillId="11" borderId="0" xfId="0" applyNumberFormat="1" applyFont="1" applyFill="1" applyBorder="1" applyAlignment="1">
      <alignment horizontal="left" vertical="top"/>
    </xf>
    <xf numFmtId="0" fontId="5" fillId="11" borderId="0" xfId="0" applyFont="1" applyFill="1" applyBorder="1" applyAlignment="1">
      <alignment horizontal="left" vertical="top"/>
    </xf>
    <xf numFmtId="0" fontId="5" fillId="11" borderId="0" xfId="0" applyFont="1" applyFill="1" applyBorder="1" applyAlignment="1">
      <alignment horizontal="center" vertical="center" wrapText="1"/>
    </xf>
    <xf numFmtId="166" fontId="5" fillId="11" borderId="0" xfId="0" applyNumberFormat="1" applyFont="1" applyFill="1" applyBorder="1" applyAlignment="1">
      <alignment horizontal="center" vertical="top" wrapText="1"/>
    </xf>
    <xf numFmtId="0" fontId="5" fillId="11" borderId="0" xfId="0" applyNumberFormat="1" applyFont="1" applyFill="1" applyBorder="1" applyAlignment="1">
      <alignment horizontal="center" vertical="top" wrapText="1"/>
    </xf>
    <xf numFmtId="44" fontId="5" fillId="11" borderId="0" xfId="0" applyNumberFormat="1" applyFont="1" applyFill="1" applyBorder="1" applyAlignment="1">
      <alignment horizontal="center" vertical="top" wrapText="1"/>
    </xf>
    <xf numFmtId="44" fontId="15" fillId="11" borderId="0" xfId="0" applyNumberFormat="1" applyFont="1" applyFill="1" applyBorder="1" applyAlignment="1">
      <alignment horizontal="center" vertical="top" wrapText="1"/>
    </xf>
    <xf numFmtId="44" fontId="12" fillId="11" borderId="0" xfId="0" applyNumberFormat="1" applyFont="1" applyFill="1" applyBorder="1" applyAlignment="1">
      <alignment horizontal="center" vertical="top" wrapText="1"/>
    </xf>
    <xf numFmtId="0" fontId="5" fillId="10" borderId="0" xfId="0" applyNumberFormat="1" applyFont="1" applyFill="1" applyBorder="1" applyAlignment="1">
      <alignment horizontal="left" vertical="top"/>
    </xf>
    <xf numFmtId="0" fontId="5" fillId="10" borderId="0" xfId="0" applyFont="1" applyFill="1" applyBorder="1" applyAlignment="1">
      <alignment horizontal="left" vertical="top"/>
    </xf>
    <xf numFmtId="44" fontId="5" fillId="10" borderId="0" xfId="0" applyNumberFormat="1" applyFont="1" applyFill="1" applyBorder="1" applyAlignment="1">
      <alignment horizontal="center" vertical="top" wrapText="1"/>
    </xf>
    <xf numFmtId="0" fontId="5" fillId="10" borderId="0" xfId="0" applyNumberFormat="1" applyFont="1" applyFill="1" applyAlignment="1">
      <alignment horizontal="left" vertical="top"/>
    </xf>
    <xf numFmtId="0" fontId="5" fillId="10" borderId="0" xfId="0" applyFont="1" applyFill="1" applyAlignment="1">
      <alignment horizontal="left" vertical="top"/>
    </xf>
    <xf numFmtId="0" fontId="5" fillId="10" borderId="0" xfId="0" applyNumberFormat="1" applyFont="1" applyFill="1" applyAlignment="1">
      <alignment horizontal="center" vertical="top" wrapText="1"/>
    </xf>
    <xf numFmtId="44" fontId="5" fillId="10" borderId="0" xfId="0" applyNumberFormat="1" applyFont="1" applyFill="1" applyAlignment="1">
      <alignment horizontal="center" vertical="top" wrapText="1"/>
    </xf>
    <xf numFmtId="44" fontId="15" fillId="10" borderId="0" xfId="0" applyNumberFormat="1" applyFont="1" applyFill="1" applyAlignment="1">
      <alignment horizontal="center" vertical="top" wrapText="1"/>
    </xf>
    <xf numFmtId="44" fontId="12" fillId="10" borderId="0" xfId="0" applyNumberFormat="1" applyFont="1" applyFill="1" applyAlignment="1">
      <alignment horizontal="center" vertical="top" wrapText="1"/>
    </xf>
    <xf numFmtId="0" fontId="9" fillId="9" borderId="0" xfId="0" applyFont="1" applyFill="1" applyAlignment="1">
      <alignment vertical="top"/>
    </xf>
    <xf numFmtId="0" fontId="9" fillId="10" borderId="0" xfId="0" applyFont="1" applyFill="1" applyAlignment="1">
      <alignment vertical="top"/>
    </xf>
    <xf numFmtId="166" fontId="5" fillId="10" borderId="0" xfId="0" applyNumberFormat="1" applyFont="1" applyFill="1" applyBorder="1" applyAlignment="1">
      <alignment horizontal="center" vertical="top"/>
    </xf>
    <xf numFmtId="166" fontId="5" fillId="10" borderId="0" xfId="0" applyNumberFormat="1" applyFont="1" applyFill="1" applyBorder="1" applyAlignment="1">
      <alignment vertical="top" wrapText="1"/>
    </xf>
    <xf numFmtId="0" fontId="13" fillId="9" borderId="0" xfId="0" applyNumberFormat="1" applyFont="1" applyFill="1" applyBorder="1" applyAlignment="1">
      <alignment horizontal="center" vertical="top"/>
    </xf>
    <xf numFmtId="0" fontId="5" fillId="9" borderId="0" xfId="0" applyNumberFormat="1" applyFont="1" applyFill="1" applyBorder="1" applyAlignment="1">
      <alignment vertical="top"/>
    </xf>
    <xf numFmtId="0" fontId="5" fillId="9" borderId="0" xfId="0" applyFont="1" applyFill="1" applyBorder="1" applyAlignment="1">
      <alignment vertical="top" wrapText="1"/>
    </xf>
    <xf numFmtId="164" fontId="5" fillId="9" borderId="0" xfId="0" applyNumberFormat="1" applyFont="1" applyFill="1" applyBorder="1" applyAlignment="1">
      <alignment vertical="top" wrapText="1"/>
    </xf>
    <xf numFmtId="164" fontId="5" fillId="9" borderId="0" xfId="0" applyNumberFormat="1" applyFont="1" applyFill="1" applyBorder="1" applyAlignment="1">
      <alignment horizontal="center" vertical="top" wrapText="1"/>
    </xf>
    <xf numFmtId="0" fontId="5" fillId="5" borderId="0" xfId="0" applyNumberFormat="1" applyFont="1" applyFill="1" applyAlignment="1">
      <alignment horizontal="center" vertical="top" wrapText="1"/>
    </xf>
    <xf numFmtId="14" fontId="5" fillId="5" borderId="0" xfId="0" applyNumberFormat="1" applyFont="1" applyFill="1" applyAlignment="1">
      <alignment horizontal="center" vertical="top" wrapText="1"/>
    </xf>
    <xf numFmtId="166" fontId="5" fillId="5" borderId="0" xfId="0" applyNumberFormat="1" applyFont="1" applyFill="1" applyBorder="1" applyAlignment="1">
      <alignment horizontal="center" vertical="top" wrapText="1"/>
    </xf>
    <xf numFmtId="0" fontId="5" fillId="5" borderId="0" xfId="0" applyNumberFormat="1" applyFont="1" applyFill="1" applyBorder="1" applyAlignment="1">
      <alignment horizontal="center" vertical="top" wrapText="1"/>
    </xf>
    <xf numFmtId="0" fontId="13" fillId="9" borderId="0" xfId="0" applyNumberFormat="1" applyFont="1" applyFill="1" applyAlignment="1">
      <alignment horizontal="center" vertical="top"/>
    </xf>
    <xf numFmtId="0" fontId="5" fillId="9" borderId="0" xfId="0" applyNumberFormat="1" applyFont="1" applyFill="1" applyAlignment="1">
      <alignment vertical="top"/>
    </xf>
    <xf numFmtId="0" fontId="5" fillId="9" borderId="0" xfId="0" applyFont="1" applyFill="1" applyAlignment="1">
      <alignment vertical="top" wrapText="1"/>
    </xf>
    <xf numFmtId="164" fontId="5" fillId="9" borderId="0" xfId="0" applyNumberFormat="1" applyFont="1" applyFill="1" applyAlignment="1">
      <alignment vertical="top" wrapText="1"/>
    </xf>
    <xf numFmtId="9" fontId="5" fillId="7" borderId="1" xfId="4" applyNumberFormat="1" applyFont="1" applyFill="1" applyBorder="1" applyAlignment="1">
      <alignment horizontal="center" vertical="top" wrapText="1"/>
    </xf>
    <xf numFmtId="164" fontId="5" fillId="9" borderId="0" xfId="0" applyNumberFormat="1" applyFont="1" applyFill="1" applyAlignment="1">
      <alignment horizontal="center" vertical="top" wrapText="1"/>
    </xf>
    <xf numFmtId="0" fontId="13" fillId="9" borderId="0" xfId="4" applyNumberFormat="1" applyFont="1" applyFill="1" applyBorder="1" applyAlignment="1">
      <alignment horizontal="center" vertical="top"/>
    </xf>
    <xf numFmtId="0" fontId="5" fillId="9" borderId="0" xfId="4" applyNumberFormat="1" applyFont="1" applyFill="1" applyBorder="1" applyAlignment="1">
      <alignment vertical="top"/>
    </xf>
    <xf numFmtId="9" fontId="5" fillId="9" borderId="0" xfId="4" applyNumberFormat="1" applyFont="1" applyFill="1" applyBorder="1" applyAlignment="1">
      <alignment vertical="top" wrapText="1"/>
    </xf>
    <xf numFmtId="166" fontId="5" fillId="9" borderId="0" xfId="4" applyNumberFormat="1" applyFont="1" applyFill="1" applyBorder="1" applyAlignment="1">
      <alignment horizontal="center" vertical="top" wrapText="1"/>
    </xf>
    <xf numFmtId="9" fontId="5" fillId="9" borderId="0" xfId="4" applyNumberFormat="1" applyFont="1" applyFill="1" applyBorder="1" applyAlignment="1">
      <alignment horizontal="center" vertical="top" wrapText="1"/>
    </xf>
    <xf numFmtId="44" fontId="5" fillId="5" borderId="0" xfId="0" applyNumberFormat="1" applyFont="1" applyFill="1" applyBorder="1" applyAlignment="1">
      <alignment horizontal="center" vertical="top" wrapText="1"/>
    </xf>
    <xf numFmtId="0" fontId="9" fillId="5" borderId="0" xfId="0" applyFont="1" applyFill="1" applyAlignment="1">
      <alignment vertical="top"/>
    </xf>
    <xf numFmtId="168" fontId="5" fillId="5" borderId="0" xfId="0" applyNumberFormat="1" applyFont="1" applyFill="1" applyAlignment="1">
      <alignment horizontal="center" vertical="top" wrapText="1"/>
    </xf>
    <xf numFmtId="172" fontId="5" fillId="5" borderId="0" xfId="0" applyNumberFormat="1" applyFont="1" applyFill="1" applyAlignment="1">
      <alignment horizontal="center" vertical="top" wrapText="1"/>
    </xf>
    <xf numFmtId="172" fontId="5" fillId="5" borderId="0" xfId="0" applyNumberFormat="1" applyFont="1" applyFill="1" applyAlignment="1">
      <alignment horizontal="center" vertical="top"/>
    </xf>
    <xf numFmtId="169" fontId="5" fillId="5" borderId="0" xfId="0" applyNumberFormat="1" applyFont="1" applyFill="1" applyAlignment="1">
      <alignment horizontal="center" vertical="top" wrapText="1"/>
    </xf>
    <xf numFmtId="175" fontId="5" fillId="5" borderId="0" xfId="0" applyNumberFormat="1" applyFont="1" applyFill="1" applyAlignment="1">
      <alignment horizontal="center" vertical="top" wrapText="1"/>
    </xf>
    <xf numFmtId="0" fontId="5" fillId="9" borderId="0" xfId="0" applyNumberFormat="1" applyFont="1" applyFill="1" applyAlignment="1">
      <alignment horizontal="left" vertical="top"/>
    </xf>
    <xf numFmtId="0" fontId="5" fillId="9" borderId="0" xfId="0" applyFont="1" applyFill="1" applyAlignment="1">
      <alignment horizontal="left" vertical="top"/>
    </xf>
    <xf numFmtId="175" fontId="5" fillId="5" borderId="0" xfId="6" applyNumberFormat="1" applyFont="1" applyFill="1" applyAlignment="1">
      <alignment horizontal="center" vertical="top" wrapText="1"/>
    </xf>
    <xf numFmtId="166" fontId="5" fillId="10" borderId="0" xfId="0" applyNumberFormat="1" applyFont="1" applyFill="1" applyAlignment="1">
      <alignment horizontal="center" vertical="top"/>
    </xf>
    <xf numFmtId="184" fontId="5" fillId="10" borderId="0" xfId="0" applyNumberFormat="1" applyFont="1" applyFill="1" applyAlignment="1">
      <alignment horizontal="center" vertical="top" wrapText="1"/>
    </xf>
    <xf numFmtId="44" fontId="5" fillId="10" borderId="0" xfId="0" applyNumberFormat="1" applyFont="1" applyFill="1" applyBorder="1" applyAlignment="1">
      <alignment vertical="top" wrapText="1"/>
    </xf>
    <xf numFmtId="0" fontId="5" fillId="9" borderId="0" xfId="0" applyNumberFormat="1" applyFont="1" applyFill="1" applyBorder="1" applyAlignment="1">
      <alignment horizontal="left" vertical="top"/>
    </xf>
    <xf numFmtId="0" fontId="5" fillId="9" borderId="0" xfId="0" applyFont="1" applyFill="1" applyBorder="1" applyAlignment="1">
      <alignment horizontal="left" vertical="top"/>
    </xf>
    <xf numFmtId="0" fontId="5" fillId="9" borderId="0" xfId="0" applyNumberFormat="1" applyFont="1" applyFill="1" applyBorder="1" applyAlignment="1">
      <alignment horizontal="center" vertical="top" wrapText="1"/>
    </xf>
    <xf numFmtId="44" fontId="5" fillId="9" borderId="0" xfId="0" applyNumberFormat="1" applyFont="1" applyFill="1" applyBorder="1" applyAlignment="1">
      <alignment horizontal="center" vertical="top" wrapText="1"/>
    </xf>
    <xf numFmtId="44" fontId="15" fillId="9" borderId="0" xfId="0" applyNumberFormat="1" applyFont="1" applyFill="1" applyBorder="1" applyAlignment="1">
      <alignment horizontal="center" vertical="top" wrapText="1"/>
    </xf>
    <xf numFmtId="44" fontId="12" fillId="9" borderId="0" xfId="0" applyNumberFormat="1" applyFont="1" applyFill="1" applyBorder="1" applyAlignment="1">
      <alignment horizontal="center" vertical="top" wrapText="1"/>
    </xf>
    <xf numFmtId="44" fontId="0" fillId="0" borderId="0" xfId="0" applyNumberFormat="1"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5" xfId="0" applyBorder="1" applyAlignment="1">
      <alignment horizontal="right" vertical="top"/>
    </xf>
    <xf numFmtId="44" fontId="0" fillId="0" borderId="16" xfId="0" applyNumberFormat="1" applyBorder="1" applyAlignment="1">
      <alignment vertical="top"/>
    </xf>
    <xf numFmtId="0" fontId="0" fillId="0" borderId="0" xfId="0" applyFill="1" applyBorder="1" applyAlignment="1">
      <alignment vertical="top" wrapText="1"/>
    </xf>
    <xf numFmtId="0" fontId="18" fillId="0" borderId="5" xfId="0" applyNumberFormat="1" applyFont="1" applyBorder="1" applyAlignment="1">
      <alignment horizontal="center" vertical="top" wrapText="1"/>
    </xf>
    <xf numFmtId="44" fontId="5" fillId="0" borderId="0" xfId="0" applyNumberFormat="1" applyFont="1" applyFill="1" applyBorder="1" applyAlignment="1">
      <alignment vertical="top" wrapText="1"/>
    </xf>
    <xf numFmtId="164" fontId="6" fillId="7" borderId="17" xfId="0" applyNumberFormat="1" applyFont="1" applyFill="1" applyBorder="1" applyAlignment="1">
      <alignment horizontal="center" vertical="center" wrapText="1"/>
    </xf>
    <xf numFmtId="164" fontId="6" fillId="7" borderId="18" xfId="0" applyNumberFormat="1" applyFont="1" applyFill="1" applyBorder="1" applyAlignment="1">
      <alignment horizontal="center" vertical="center" wrapText="1"/>
    </xf>
    <xf numFmtId="166" fontId="5" fillId="7" borderId="17" xfId="0" applyNumberFormat="1" applyFont="1" applyFill="1" applyBorder="1" applyAlignment="1">
      <alignment horizontal="center" vertical="top" wrapText="1"/>
    </xf>
    <xf numFmtId="166" fontId="5" fillId="7" borderId="18" xfId="0" applyNumberFormat="1" applyFont="1" applyFill="1" applyBorder="1" applyAlignment="1">
      <alignment horizontal="center" vertical="top" wrapText="1"/>
    </xf>
    <xf numFmtId="166" fontId="5" fillId="7" borderId="17" xfId="0" applyNumberFormat="1" applyFont="1" applyFill="1" applyBorder="1" applyAlignment="1">
      <alignment horizontal="center" vertical="top"/>
    </xf>
    <xf numFmtId="166" fontId="5" fillId="7" borderId="18" xfId="0" applyNumberFormat="1" applyFont="1" applyFill="1" applyBorder="1" applyAlignment="1">
      <alignment horizontal="center" vertical="top"/>
    </xf>
    <xf numFmtId="0" fontId="20" fillId="0" borderId="0" xfId="0" applyNumberFormat="1" applyFont="1" applyAlignment="1">
      <alignment vertical="top"/>
    </xf>
    <xf numFmtId="0" fontId="20" fillId="0" borderId="0" xfId="0" applyFont="1" applyAlignment="1">
      <alignment vertical="top"/>
    </xf>
    <xf numFmtId="164" fontId="5" fillId="0" borderId="19" xfId="0" applyNumberFormat="1" applyFont="1" applyBorder="1" applyAlignment="1">
      <alignment horizontal="center" vertical="top" wrapText="1"/>
    </xf>
    <xf numFmtId="164" fontId="5" fillId="0" borderId="20" xfId="0" applyNumberFormat="1" applyFont="1" applyFill="1" applyBorder="1" applyAlignment="1">
      <alignment horizontal="center" vertical="top" wrapText="1"/>
    </xf>
    <xf numFmtId="164" fontId="5" fillId="0" borderId="21" xfId="0" applyNumberFormat="1" applyFont="1" applyBorder="1" applyAlignment="1">
      <alignment vertical="top" wrapText="1"/>
    </xf>
    <xf numFmtId="191" fontId="5" fillId="5" borderId="0" xfId="0" applyNumberFormat="1" applyFont="1" applyFill="1" applyBorder="1" applyAlignment="1">
      <alignment horizontal="center" vertical="top" wrapText="1"/>
    </xf>
    <xf numFmtId="0" fontId="0" fillId="2" borderId="6" xfId="0" applyNumberFormat="1" applyFont="1" applyFill="1" applyBorder="1" applyAlignment="1">
      <alignment vertical="top" wrapText="1"/>
    </xf>
    <xf numFmtId="0" fontId="0" fillId="2" borderId="10" xfId="0" applyNumberFormat="1" applyFont="1" applyFill="1" applyBorder="1" applyAlignment="1">
      <alignment vertical="top" wrapText="1"/>
    </xf>
    <xf numFmtId="0" fontId="0" fillId="2" borderId="7" xfId="0" applyNumberFormat="1" applyFont="1" applyFill="1" applyBorder="1" applyAlignment="1">
      <alignment vertical="top" wrapText="1"/>
    </xf>
    <xf numFmtId="0" fontId="0" fillId="2" borderId="12" xfId="0" applyNumberFormat="1" applyFont="1" applyFill="1" applyBorder="1" applyAlignment="1">
      <alignment vertical="top" wrapText="1"/>
    </xf>
    <xf numFmtId="0" fontId="0" fillId="2" borderId="0" xfId="0" applyNumberFormat="1" applyFont="1" applyFill="1" applyBorder="1" applyAlignment="1">
      <alignment vertical="top" wrapText="1"/>
    </xf>
    <xf numFmtId="0" fontId="0" fillId="2" borderId="13" xfId="0" applyNumberFormat="1" applyFont="1" applyFill="1" applyBorder="1" applyAlignment="1">
      <alignment vertical="top" wrapText="1"/>
    </xf>
    <xf numFmtId="0" fontId="0" fillId="2" borderId="8" xfId="0" applyNumberFormat="1" applyFont="1" applyFill="1" applyBorder="1" applyAlignment="1">
      <alignment vertical="top" wrapText="1"/>
    </xf>
    <xf numFmtId="0" fontId="0" fillId="2" borderId="11" xfId="0" applyNumberFormat="1" applyFont="1" applyFill="1" applyBorder="1" applyAlignment="1">
      <alignment vertical="top" wrapText="1"/>
    </xf>
    <xf numFmtId="0" fontId="0" fillId="2" borderId="9" xfId="0" applyNumberFormat="1" applyFont="1" applyFill="1" applyBorder="1" applyAlignment="1">
      <alignment vertical="top" wrapText="1"/>
    </xf>
    <xf numFmtId="0" fontId="0" fillId="2" borderId="6" xfId="0" applyFill="1" applyBorder="1" applyAlignment="1">
      <alignment horizontal="left" vertical="top" wrapText="1"/>
    </xf>
    <xf numFmtId="0" fontId="0" fillId="2" borderId="10"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11" xfId="0" applyFill="1" applyBorder="1" applyAlignment="1">
      <alignment horizontal="left" vertical="top" wrapText="1"/>
    </xf>
    <xf numFmtId="0" fontId="0" fillId="2" borderId="9" xfId="0" applyFill="1" applyBorder="1" applyAlignment="1">
      <alignment horizontal="left" vertical="top" wrapText="1"/>
    </xf>
  </cellXfs>
  <cellStyles count="8">
    <cellStyle name="Currency" xfId="6" builtinId="4"/>
    <cellStyle name="Currency 2 2 2" xfId="2" xr:uid="{00000000-0005-0000-0000-000001000000}"/>
    <cellStyle name="Hyperlink" xfId="7" builtinId="8"/>
    <cellStyle name="Normal" xfId="0" builtinId="0"/>
    <cellStyle name="Normal 2" xfId="1" xr:uid="{00000000-0005-0000-0000-000004000000}"/>
    <cellStyle name="Normal 3" xfId="3" xr:uid="{00000000-0005-0000-0000-000005000000}"/>
    <cellStyle name="Normal 3 2" xfId="5" xr:uid="{00000000-0005-0000-0000-000006000000}"/>
    <cellStyle name="Percent" xfId="4" builtinId="5"/>
  </cellStyles>
  <dxfs count="97">
    <dxf>
      <font>
        <b val="0"/>
        <i val="0"/>
        <strike val="0"/>
        <condense val="0"/>
        <extend val="0"/>
        <outline val="0"/>
        <shadow val="0"/>
        <u val="none"/>
        <vertAlign val="baseline"/>
        <sz val="9"/>
        <color theme="1"/>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Calibri"/>
        <family val="2"/>
        <scheme val="none"/>
      </font>
      <alignment horizontal="center" vertical="top" textRotation="0" wrapText="1" indent="0" justifyLastLine="0" shrinkToFit="0" readingOrder="0"/>
    </dxf>
    <dxf>
      <font>
        <b val="0"/>
        <i val="0"/>
        <strike val="0"/>
        <condense val="0"/>
        <extend val="0"/>
        <outline val="0"/>
        <shadow val="0"/>
        <u val="none"/>
        <vertAlign val="baseline"/>
        <sz val="9"/>
        <color theme="1"/>
        <name val="Calibri"/>
        <family val="2"/>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family val="2"/>
        <scheme val="none"/>
      </font>
      <alignment horizontal="left" vertical="top" textRotation="0" wrapText="0" indent="0" justifyLastLine="0" shrinkToFit="0" readingOrder="0"/>
    </dxf>
    <dxf>
      <font>
        <b val="0"/>
        <i val="0"/>
        <strike val="0"/>
        <condense val="0"/>
        <extend val="0"/>
        <outline val="0"/>
        <shadow val="0"/>
        <u val="none"/>
        <vertAlign val="baseline"/>
        <sz val="9"/>
        <color theme="1"/>
        <name val="Calibri"/>
        <family val="2"/>
        <scheme val="none"/>
      </font>
      <alignment horizontal="center" vertical="top" textRotation="0" wrapText="0" indent="0" justifyLastLine="0" shrinkToFit="0" readingOrder="0"/>
    </dxf>
    <dxf>
      <font>
        <b val="0"/>
        <i val="0"/>
        <strike val="0"/>
        <condense val="0"/>
        <extend val="0"/>
        <outline val="0"/>
        <shadow val="0"/>
        <u val="none"/>
        <vertAlign val="baseline"/>
        <sz val="9"/>
        <color theme="0" tint="-0.249977111117893"/>
        <name val="Calibri"/>
        <family val="2"/>
        <scheme val="none"/>
      </font>
      <alignment horizontal="center" vertical="top" textRotation="0" wrapText="0" indent="0" justifyLastLine="0" shrinkToFit="0" readingOrder="0"/>
    </dxf>
    <dxf>
      <font>
        <b val="0"/>
        <i val="0"/>
        <strike val="0"/>
        <condense val="0"/>
        <extend val="0"/>
        <outline val="0"/>
        <shadow val="0"/>
        <u val="none"/>
        <vertAlign val="baseline"/>
        <sz val="9"/>
        <color theme="1"/>
        <name val="Calibri"/>
        <family val="2"/>
        <scheme val="none"/>
      </font>
      <alignment horizontal="general" vertical="top" textRotation="0" wrapText="0" indent="0" justifyLastLine="0" shrinkToFit="0" readingOrder="0"/>
    </dxf>
    <dxf>
      <font>
        <b/>
        <i val="0"/>
        <strike val="0"/>
        <condense val="0"/>
        <extend val="0"/>
        <outline val="0"/>
        <shadow val="0"/>
        <u val="none"/>
        <vertAlign val="baseline"/>
        <sz val="9"/>
        <color theme="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family val="2"/>
        <scheme val="none"/>
      </font>
      <numFmt numFmtId="165" formatCode="[$-F800]dddd\,\ mmmm\ dd\,\ yyyy"/>
      <alignment horizontal="center" vertical="top" textRotation="0" wrapText="0" indent="0" justifyLastLine="0" shrinkToFit="0" readingOrder="0"/>
    </dxf>
    <dxf>
      <font>
        <b val="0"/>
        <i val="0"/>
        <strike val="0"/>
        <condense val="0"/>
        <extend val="0"/>
        <outline val="0"/>
        <shadow val="0"/>
        <u val="none"/>
        <vertAlign val="baseline"/>
        <sz val="9"/>
        <color theme="1"/>
        <name val="Calibri"/>
        <family val="2"/>
        <scheme val="none"/>
      </font>
      <alignment horizontal="general" vertical="top" textRotation="0" wrapText="1" indent="0" justifyLastLine="0" shrinkToFit="0" readingOrder="0"/>
    </dxf>
    <dxf>
      <font>
        <b val="0"/>
        <i val="0"/>
        <strike val="0"/>
        <condense val="0"/>
        <extend val="0"/>
        <outline val="0"/>
        <shadow val="0"/>
        <u val="none"/>
        <vertAlign val="baseline"/>
        <sz val="9"/>
        <color theme="0" tint="-0.249977111117893"/>
        <name val="Calibri"/>
        <family val="2"/>
        <scheme val="none"/>
      </font>
      <alignment horizontal="center" vertical="top" textRotation="0" wrapText="0" indent="0" justifyLastLine="0" shrinkToFit="0" readingOrder="0"/>
    </dxf>
    <dxf>
      <font>
        <b val="0"/>
        <i val="0"/>
        <strike val="0"/>
        <condense val="0"/>
        <extend val="0"/>
        <outline val="0"/>
        <shadow val="0"/>
        <u val="none"/>
        <vertAlign val="baseline"/>
        <sz val="9"/>
        <color theme="1"/>
        <name val="Calibri"/>
        <family val="2"/>
        <scheme val="none"/>
      </font>
      <alignment horizontal="general" vertical="top" textRotation="0" wrapText="1" indent="0" justifyLastLine="0" shrinkToFit="0" readingOrder="0"/>
    </dxf>
    <dxf>
      <font>
        <strike val="0"/>
        <outline val="0"/>
        <shadow val="0"/>
        <u val="none"/>
        <vertAlign val="baseline"/>
        <sz val="9"/>
        <color theme="1"/>
        <name val="Calibri"/>
        <family val="2"/>
        <scheme val="none"/>
      </font>
      <alignment horizontal="center" vertical="center" textRotation="0" indent="0" justifyLastLine="0" shrinkToFit="0" readingOrder="0"/>
    </dxf>
    <dxf>
      <font>
        <strike val="0"/>
        <outline val="0"/>
        <shadow val="0"/>
        <u val="none"/>
        <vertAlign val="baseline"/>
        <sz val="9"/>
        <name val="Calibri"/>
        <family val="2"/>
        <scheme val="none"/>
      </font>
      <fill>
        <patternFill patternType="none">
          <fgColor indexed="64"/>
          <bgColor auto="1"/>
        </patternFill>
      </fill>
      <alignment horizontal="center" vertical="top" textRotation="0" indent="0" justifyLastLine="0" shrinkToFit="0" readingOrder="0"/>
    </dxf>
    <dxf>
      <font>
        <strike val="0"/>
        <outline val="0"/>
        <shadow val="0"/>
        <u val="none"/>
        <vertAlign val="baseline"/>
        <sz val="9"/>
        <name val="Calibri"/>
        <family val="2"/>
        <scheme val="none"/>
      </font>
      <numFmt numFmtId="0" formatCode="General"/>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9"/>
        <name val="Calibri"/>
        <family val="2"/>
        <scheme val="none"/>
      </font>
      <numFmt numFmtId="166" formatCode="#,##0.###"/>
      <fill>
        <patternFill patternType="none">
          <fgColor indexed="64"/>
          <bgColor theme="0"/>
        </patternFill>
      </fill>
      <alignment horizontal="center" vertical="top" textRotation="0" wrapText="1" indent="0" justifyLastLine="0" shrinkToFit="0" readingOrder="0"/>
      <border diagonalUp="0" diagonalDown="0" outline="0">
        <left style="thin">
          <color theme="1" tint="0.499984740745262"/>
        </left>
        <right style="thin">
          <color theme="1" tint="0.499984740745262"/>
        </right>
        <top style="thin">
          <color theme="0"/>
        </top>
        <bottom style="thin">
          <color theme="0"/>
        </bottom>
      </border>
    </dxf>
    <dxf>
      <font>
        <strike val="0"/>
        <outline val="0"/>
        <shadow val="0"/>
        <u val="none"/>
        <vertAlign val="baseline"/>
        <sz val="9"/>
        <name val="Calibri"/>
        <family val="2"/>
        <scheme val="none"/>
      </font>
      <numFmt numFmtId="166" formatCode="#,##0.###"/>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9"/>
        <name val="Calibri"/>
        <family val="2"/>
        <scheme val="none"/>
      </font>
      <numFmt numFmtId="166" formatCode="#,##0.###"/>
      <fill>
        <patternFill patternType="none">
          <fgColor indexed="64"/>
          <bgColor auto="1"/>
        </patternFill>
      </fill>
      <alignment horizontal="center" vertical="top" textRotation="0" indent="0" justifyLastLine="0" shrinkToFit="0" readingOrder="0"/>
    </dxf>
    <dxf>
      <font>
        <strike val="0"/>
        <outline val="0"/>
        <shadow val="0"/>
        <u val="none"/>
        <vertAlign val="baseline"/>
        <sz val="9"/>
        <name val="Calibri"/>
        <family val="2"/>
        <scheme val="none"/>
      </font>
      <numFmt numFmtId="166" formatCode="#,##0.###"/>
      <fill>
        <patternFill patternType="none">
          <fgColor indexed="64"/>
          <bgColor auto="1"/>
        </patternFill>
      </fill>
      <alignment horizontal="center" vertical="top" textRotation="0" indent="0" justifyLastLine="0" shrinkToFit="0" readingOrder="0"/>
    </dxf>
    <dxf>
      <font>
        <b val="0"/>
        <i val="0"/>
        <strike val="0"/>
        <condense val="0"/>
        <extend val="0"/>
        <outline val="0"/>
        <shadow val="0"/>
        <u val="none"/>
        <vertAlign val="baseline"/>
        <sz val="9"/>
        <color theme="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theme="1" tint="0.499984740745262"/>
        </left>
        <right style="thin">
          <color theme="1" tint="0.499984740745262"/>
        </right>
        <top style="thin">
          <color theme="0"/>
        </top>
        <bottom style="thin">
          <color theme="0"/>
        </bottom>
      </border>
    </dxf>
    <dxf>
      <font>
        <strike val="0"/>
        <outline val="0"/>
        <shadow val="0"/>
        <u val="none"/>
        <vertAlign val="baseline"/>
        <sz val="9"/>
        <color theme="1"/>
        <name val="Calibri"/>
        <family val="2"/>
        <scheme val="none"/>
      </font>
      <fill>
        <patternFill patternType="none">
          <fgColor indexed="64"/>
          <bgColor auto="1"/>
        </patternFill>
      </fill>
    </dxf>
    <dxf>
      <font>
        <strike val="0"/>
        <outline val="0"/>
        <shadow val="0"/>
        <u val="none"/>
        <vertAlign val="baseline"/>
        <sz val="9"/>
        <name val="Calibri"/>
        <family val="2"/>
        <scheme val="none"/>
      </font>
      <fill>
        <patternFill patternType="none">
          <fgColor indexed="64"/>
          <bgColor auto="1"/>
        </patternFill>
      </fill>
    </dxf>
    <dxf>
      <font>
        <strike val="0"/>
        <outline val="0"/>
        <shadow val="0"/>
        <u val="none"/>
        <vertAlign val="baseline"/>
        <sz val="9"/>
        <name val="Calibri"/>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9"/>
        <name val="Calibri"/>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9"/>
        <color theme="1"/>
        <name val="Calibri"/>
        <family val="2"/>
        <scheme val="none"/>
      </font>
      <numFmt numFmtId="0" formatCode="General"/>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9"/>
        <color theme="0" tint="-0.249977111117893"/>
        <name val="Calibri"/>
        <family val="2"/>
        <scheme val="none"/>
      </font>
      <numFmt numFmtId="0" formatCode="General"/>
      <fill>
        <patternFill patternType="none">
          <fgColor indexed="64"/>
          <bgColor auto="1"/>
        </patternFill>
      </fill>
      <alignment horizontal="center" textRotation="0" indent="0" justifyLastLine="0" shrinkToFit="0" readingOrder="0"/>
    </dxf>
    <dxf>
      <font>
        <strike val="0"/>
        <outline val="0"/>
        <shadow val="0"/>
        <u val="none"/>
        <vertAlign val="baseline"/>
        <sz val="9"/>
        <name val="Calibri"/>
        <family val="2"/>
        <scheme val="none"/>
      </font>
      <numFmt numFmtId="164" formatCode="#,##0.##"/>
      <fill>
        <patternFill patternType="none">
          <fgColor indexed="64"/>
          <bgColor auto="1"/>
        </patternFill>
      </fill>
    </dxf>
    <dxf>
      <font>
        <b/>
        <i val="0"/>
        <strike val="0"/>
        <condense val="0"/>
        <extend val="0"/>
        <outline val="0"/>
        <shadow val="0"/>
        <u val="none"/>
        <vertAlign val="baseline"/>
        <sz val="9"/>
        <color theme="1"/>
        <name val="Calibri"/>
        <family val="2"/>
        <scheme val="none"/>
      </font>
      <numFmt numFmtId="164" formatCode="#,##0.##"/>
      <alignment horizontal="center" vertical="center" textRotation="0" wrapText="1" indent="0" justifyLastLine="0" shrinkToFit="0" readingOrder="0"/>
    </dxf>
    <dxf>
      <fill>
        <patternFill>
          <bgColor theme="0" tint="-4.9989318521683403E-2"/>
        </patternFill>
      </fill>
    </dxf>
    <dxf>
      <fill>
        <patternFill>
          <bgColor rgb="FFE7FFFF"/>
        </patternFill>
      </fill>
    </dxf>
    <dxf>
      <border>
        <top/>
        <vertical/>
        <horizontal/>
      </border>
    </dxf>
    <dxf>
      <font>
        <strike val="0"/>
        <outline val="0"/>
        <shadow val="0"/>
        <vertAlign val="baseline"/>
        <sz val="9"/>
        <name val="Calibri"/>
        <family val="2"/>
        <scheme val="none"/>
      </font>
      <numFmt numFmtId="166" formatCode="#,##0.###"/>
      <fill>
        <patternFill patternType="none">
          <fgColor indexed="64"/>
          <bgColor auto="1"/>
        </patternFill>
      </fill>
      <alignment horizontal="center" vertical="top" textRotation="0" indent="0" justifyLastLine="0" shrinkToFit="0" readingOrder="0"/>
    </dxf>
    <dxf>
      <font>
        <strike val="0"/>
        <outline val="0"/>
        <shadow val="0"/>
        <vertAlign val="baseline"/>
        <sz val="9"/>
        <name val="Calibri"/>
        <family val="2"/>
        <scheme val="none"/>
      </font>
      <numFmt numFmtId="166" formatCode="#,##0.###"/>
      <fill>
        <patternFill patternType="none">
          <fgColor indexed="64"/>
          <bgColor indexed="65"/>
        </patternFill>
      </fill>
      <alignment horizontal="center" vertical="top" textRotation="0" wrapText="1" indent="0" justifyLastLine="0" shrinkToFit="0" readingOrder="0"/>
    </dxf>
    <dxf>
      <font>
        <strike val="0"/>
        <outline val="0"/>
        <shadow val="0"/>
        <u val="none"/>
        <vertAlign val="baseline"/>
        <sz val="9"/>
        <color theme="1"/>
        <name val="Calibri"/>
        <family val="2"/>
        <scheme val="none"/>
      </font>
      <numFmt numFmtId="166" formatCode="#,##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9"/>
        <color theme="1"/>
        <name val="Calibri"/>
        <family val="2"/>
        <scheme val="none"/>
      </font>
      <numFmt numFmtId="166" formatCode="#,##0.###"/>
      <fill>
        <patternFill patternType="solid">
          <fgColor indexed="64"/>
          <bgColor theme="0"/>
        </patternFill>
      </fill>
      <alignment horizontal="center" vertical="top" textRotation="0" wrapText="0" indent="0" justifyLastLine="0" shrinkToFit="0" readingOrder="0"/>
      <border diagonalUp="0" diagonalDown="0">
        <left/>
        <right style="thin">
          <color theme="1" tint="0.499984740745262"/>
        </right>
        <top style="thin">
          <color theme="0"/>
        </top>
        <bottom style="thin">
          <color theme="0"/>
        </bottom>
        <vertical/>
        <horizontal style="thin">
          <color theme="0"/>
        </horizontal>
      </border>
    </dxf>
    <dxf>
      <font>
        <strike val="0"/>
        <outline val="0"/>
        <shadow val="0"/>
        <vertAlign val="baseline"/>
        <sz val="9"/>
        <name val="Calibri"/>
        <family val="2"/>
        <scheme val="none"/>
      </font>
      <numFmt numFmtId="166" formatCode="#,##0.###"/>
      <fill>
        <patternFill patternType="solid">
          <fgColor indexed="64"/>
          <bgColor theme="0"/>
        </patternFill>
      </fill>
      <alignment horizontal="center" vertical="top" textRotation="0" wrapText="1" indent="0" justifyLastLine="0" shrinkToFit="0" readingOrder="0"/>
      <border diagonalUp="0" diagonalDown="0">
        <left style="thin">
          <color theme="1" tint="0.499984740745262"/>
        </left>
        <right/>
        <top style="thin">
          <color theme="0"/>
        </top>
        <bottom style="thin">
          <color theme="0"/>
        </bottom>
        <vertical/>
        <horizontal style="thin">
          <color theme="0"/>
        </horizontal>
      </border>
    </dxf>
    <dxf>
      <font>
        <strike val="0"/>
        <outline val="0"/>
        <shadow val="0"/>
        <vertAlign val="baseline"/>
        <sz val="9"/>
        <name val="Calibri"/>
        <family val="2"/>
        <scheme val="none"/>
      </font>
      <numFmt numFmtId="166" formatCode="#,##0.###"/>
      <fill>
        <patternFill patternType="none">
          <fgColor indexed="64"/>
          <bgColor auto="1"/>
        </patternFill>
      </fill>
      <alignment horizontal="center" vertical="top" textRotation="0" indent="0" justifyLastLine="0" shrinkToFit="0" readingOrder="0"/>
    </dxf>
    <dxf>
      <font>
        <strike val="0"/>
        <outline val="0"/>
        <shadow val="0"/>
        <vertAlign val="baseline"/>
        <sz val="9"/>
        <name val="Calibri"/>
        <family val="2"/>
        <scheme val="none"/>
      </font>
      <numFmt numFmtId="166" formatCode="#,##0.###"/>
      <fill>
        <patternFill patternType="none">
          <fgColor indexed="64"/>
          <bgColor auto="1"/>
        </patternFill>
      </fill>
      <alignment horizontal="center" vertical="top" textRotation="0" indent="0" justifyLastLine="0" shrinkToFit="0" readingOrder="0"/>
      <border outline="0">
        <left style="thin">
          <color theme="0" tint="-0.24994659260841701"/>
        </left>
      </border>
    </dxf>
    <dxf>
      <font>
        <strike val="0"/>
        <outline val="0"/>
        <shadow val="0"/>
        <vertAlign val="baseline"/>
        <sz val="9"/>
        <name val="Calibri"/>
        <family val="2"/>
        <scheme val="none"/>
      </font>
      <numFmt numFmtId="166" formatCode="#,##0.###"/>
      <fill>
        <patternFill patternType="solid">
          <fgColor indexed="64"/>
          <bgColor theme="0"/>
        </patternFill>
      </fill>
      <alignment horizontal="center" vertical="top" textRotation="0" wrapText="1" indent="0" justifyLastLine="0" shrinkToFit="0" readingOrder="0"/>
      <border diagonalUp="0" diagonalDown="0" outline="0">
        <left style="thin">
          <color theme="1" tint="0.499984740745262"/>
        </left>
        <right style="thin">
          <color theme="1" tint="0.499984740745262"/>
        </right>
        <top style="thin">
          <color theme="0"/>
        </top>
        <bottom style="thin">
          <color theme="0"/>
        </bottom>
      </border>
    </dxf>
    <dxf>
      <font>
        <strike val="0"/>
        <outline val="0"/>
        <shadow val="0"/>
        <vertAlign val="baseline"/>
        <sz val="9"/>
        <name val="Calibri"/>
        <family val="2"/>
        <scheme val="none"/>
      </font>
      <numFmt numFmtId="166" formatCode="#,##0.###"/>
      <alignment horizontal="center" vertical="top" textRotation="0" wrapText="1" indent="0" justifyLastLine="0" shrinkToFit="0" readingOrder="0"/>
      <border outline="0">
        <right style="thin">
          <color theme="0" tint="-0.24994659260841701"/>
        </right>
      </border>
    </dxf>
    <dxf>
      <font>
        <strike val="0"/>
        <outline val="0"/>
        <shadow val="0"/>
        <vertAlign val="baseline"/>
        <sz val="9"/>
        <name val="Calibri"/>
        <family val="2"/>
        <scheme val="none"/>
      </font>
      <numFmt numFmtId="166" formatCode="#,##0.###"/>
      <alignment horizontal="center" vertical="top" textRotation="0" indent="0" justifyLastLine="0" shrinkToFit="0" readingOrder="0"/>
    </dxf>
    <dxf>
      <font>
        <strike val="0"/>
        <outline val="0"/>
        <shadow val="0"/>
        <vertAlign val="baseline"/>
        <sz val="9"/>
        <name val="Calibri"/>
        <family val="2"/>
        <scheme val="none"/>
      </font>
      <numFmt numFmtId="166" formatCode="#,##0.###"/>
      <alignment horizontal="center" vertical="top" textRotation="0" indent="0" justifyLastLine="0" shrinkToFit="0" readingOrder="0"/>
    </dxf>
    <dxf>
      <font>
        <b val="0"/>
        <i val="0"/>
        <strike val="0"/>
        <condense val="0"/>
        <extend val="0"/>
        <outline val="0"/>
        <shadow val="0"/>
        <u val="none"/>
        <vertAlign val="baseline"/>
        <sz val="9"/>
        <color theme="1"/>
        <name val="Calibri"/>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24994659260841701"/>
        </right>
        <top style="thin">
          <color theme="0"/>
        </top>
        <bottom style="thin">
          <color theme="0"/>
        </bottom>
      </border>
    </dxf>
    <dxf>
      <font>
        <b val="0"/>
        <i val="0"/>
        <strike val="0"/>
        <condense val="0"/>
        <extend val="0"/>
        <outline val="0"/>
        <shadow val="0"/>
        <u val="none"/>
        <vertAlign val="baseline"/>
        <sz val="9"/>
        <color theme="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theme="1" tint="0.499984740745262"/>
        </left>
        <right style="thin">
          <color theme="1" tint="0.499984740745262"/>
        </right>
        <top style="thin">
          <color theme="0"/>
        </top>
        <bottom style="thin">
          <color theme="0"/>
        </bottom>
      </border>
    </dxf>
    <dxf>
      <font>
        <strike val="0"/>
        <outline val="0"/>
        <shadow val="0"/>
        <u val="none"/>
        <vertAlign val="baseline"/>
        <sz val="9"/>
        <color theme="1"/>
        <name val="Calibri"/>
        <family val="2"/>
        <scheme val="none"/>
      </font>
      <fill>
        <patternFill patternType="none">
          <fgColor indexed="64"/>
          <bgColor auto="1"/>
        </patternFill>
      </fill>
    </dxf>
    <dxf>
      <font>
        <strike val="0"/>
        <outline val="0"/>
        <shadow val="0"/>
        <vertAlign val="baseline"/>
        <sz val="9"/>
        <name val="Calibri"/>
        <family val="2"/>
        <scheme val="none"/>
      </font>
      <fill>
        <patternFill patternType="none">
          <fgColor indexed="64"/>
          <bgColor auto="1"/>
        </patternFill>
      </fill>
    </dxf>
    <dxf>
      <font>
        <strike val="0"/>
        <outline val="0"/>
        <shadow val="0"/>
        <vertAlign val="baseline"/>
        <sz val="9"/>
        <name val="Calibri"/>
        <family val="2"/>
        <scheme val="none"/>
      </font>
      <fill>
        <patternFill patternType="none">
          <fgColor indexed="64"/>
          <bgColor auto="1"/>
        </patternFill>
      </fill>
      <alignment horizontal="left" vertical="top" textRotation="0" wrapText="0" indent="0" justifyLastLine="0" shrinkToFit="0" readingOrder="0"/>
    </dxf>
    <dxf>
      <font>
        <strike val="0"/>
        <outline val="0"/>
        <shadow val="0"/>
        <vertAlign val="baseline"/>
        <sz val="9"/>
        <name val="Calibri"/>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9"/>
        <color theme="1"/>
        <name val="Calibri"/>
        <family val="2"/>
        <scheme val="none"/>
      </font>
      <numFmt numFmtId="0" formatCode="General"/>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9"/>
        <color theme="0" tint="-0.249977111117893"/>
        <name val="Calibri"/>
        <family val="2"/>
        <scheme val="none"/>
      </font>
      <numFmt numFmtId="0" formatCode="General"/>
      <fill>
        <patternFill patternType="none">
          <fgColor indexed="64"/>
          <bgColor auto="1"/>
        </patternFill>
      </fill>
    </dxf>
    <dxf>
      <font>
        <strike val="0"/>
        <outline val="0"/>
        <shadow val="0"/>
        <vertAlign val="baseline"/>
        <sz val="9"/>
        <name val="Calibri"/>
        <family val="2"/>
        <scheme val="none"/>
      </font>
    </dxf>
    <dxf>
      <font>
        <b/>
        <i val="0"/>
        <strike val="0"/>
        <condense val="0"/>
        <extend val="0"/>
        <outline val="0"/>
        <shadow val="0"/>
        <u val="none"/>
        <vertAlign val="baseline"/>
        <sz val="9"/>
        <color theme="1"/>
        <name val="Calibri"/>
        <family val="2"/>
        <scheme val="none"/>
      </font>
      <numFmt numFmtId="164" formatCode="#,##0.##"/>
      <alignment horizontal="center" vertical="center" textRotation="0" wrapText="1" indent="0" justifyLastLine="0" shrinkToFit="0" readingOrder="0"/>
    </dxf>
    <dxf>
      <fill>
        <patternFill>
          <bgColor theme="0" tint="-4.9989318521683403E-2"/>
        </patternFill>
      </fill>
    </dxf>
    <dxf>
      <fill>
        <patternFill>
          <bgColor rgb="FFE7FFFF"/>
        </patternFill>
      </fill>
    </dxf>
    <dxf>
      <border>
        <top/>
        <vertical/>
        <horizontal/>
      </border>
    </dxf>
    <dxf>
      <font>
        <strike val="0"/>
        <outline val="0"/>
        <shadow val="0"/>
        <u val="none"/>
        <vertAlign val="baseline"/>
        <sz val="9"/>
        <color auto="1"/>
        <name val="Calibri"/>
        <family val="2"/>
        <scheme val="none"/>
      </font>
      <numFmt numFmtId="34" formatCode="_-&quot;$&quot;* #,##0.00_-;\-&quot;$&quot;* #,##0.00_-;_-&quot;$&quot;* &quot;-&quot;??_-;_-@_-"/>
      <alignment horizontal="center" vertical="top" textRotation="0" indent="0" justifyLastLine="0" shrinkToFit="0" readingOrder="0"/>
    </dxf>
    <dxf>
      <font>
        <strike val="0"/>
        <outline val="0"/>
        <shadow val="0"/>
        <u val="none"/>
        <vertAlign val="baseline"/>
        <sz val="9"/>
        <name val="Calibri"/>
        <family val="2"/>
        <scheme val="none"/>
      </font>
      <numFmt numFmtId="34" formatCode="_-&quot;$&quot;* #,##0.00_-;\-&quot;$&quot;* #,##0.00_-;_-&quot;$&quot;* &quot;-&quot;??_-;_-@_-"/>
      <alignment horizontal="center" vertical="top" textRotation="0" indent="0" justifyLastLine="0" shrinkToFit="0" readingOrder="0"/>
    </dxf>
    <dxf>
      <font>
        <i/>
        <strike val="0"/>
        <outline val="0"/>
        <shadow val="0"/>
        <u val="none"/>
        <vertAlign val="baseline"/>
        <sz val="9"/>
        <color theme="0" tint="-0.249977111117893"/>
        <name val="Calibri"/>
        <family val="2"/>
        <scheme val="none"/>
      </font>
      <numFmt numFmtId="34" formatCode="_-&quot;$&quot;* #,##0.00_-;\-&quot;$&quot;* #,##0.00_-;_-&quot;$&quot;* &quot;-&quot;??_-;_-@_-"/>
      <fill>
        <patternFill patternType="none">
          <fgColor indexed="64"/>
          <bgColor indexed="65"/>
        </patternFill>
      </fill>
      <alignment horizontal="center" vertical="top" textRotation="0" wrapText="1" indent="0" justifyLastLine="0" shrinkToFit="0" readingOrder="0"/>
    </dxf>
    <dxf>
      <font>
        <strike val="0"/>
        <outline val="0"/>
        <shadow val="0"/>
        <u val="none"/>
        <vertAlign val="baseline"/>
        <sz val="9"/>
        <name val="Calibri"/>
        <family val="2"/>
        <scheme val="none"/>
      </font>
      <numFmt numFmtId="34" formatCode="_-&quot;$&quot;* #,##0.00_-;\-&quot;$&quot;* #,##0.00_-;_-&quot;$&quot;* &quot;-&quot;??_-;_-@_-"/>
      <alignment horizontal="center" vertical="top" textRotation="0" indent="0" justifyLastLine="0" shrinkToFit="0" readingOrder="0"/>
    </dxf>
    <dxf>
      <font>
        <strike val="0"/>
        <outline val="0"/>
        <shadow val="0"/>
        <u val="none"/>
        <vertAlign val="baseline"/>
        <sz val="9"/>
        <name val="Calibri"/>
        <family val="2"/>
        <scheme val="none"/>
      </font>
      <numFmt numFmtId="0" formatCode="General"/>
      <alignment horizontal="center" vertical="top" textRotation="0" indent="0" justifyLastLine="0" shrinkToFit="0" readingOrder="0"/>
    </dxf>
    <dxf>
      <font>
        <strike val="0"/>
        <outline val="0"/>
        <shadow val="0"/>
        <u val="none"/>
        <vertAlign val="baseline"/>
        <sz val="9"/>
        <name val="Calibri"/>
        <family val="2"/>
        <scheme val="none"/>
      </font>
      <numFmt numFmtId="166" formatCode="#,##0.###"/>
      <alignment horizontal="center" vertical="top" textRotation="0" indent="0" justifyLastLine="0" shrinkToFit="0" readingOrder="0"/>
    </dxf>
    <dxf>
      <font>
        <strike val="0"/>
        <outline val="0"/>
        <shadow val="0"/>
        <u val="none"/>
        <vertAlign val="baseline"/>
        <sz val="9"/>
        <color theme="1"/>
        <name val="Calibri"/>
        <family val="2"/>
        <scheme val="none"/>
      </font>
    </dxf>
    <dxf>
      <font>
        <strike val="0"/>
        <outline val="0"/>
        <shadow val="0"/>
        <u val="none"/>
        <vertAlign val="baseline"/>
        <sz val="9"/>
        <name val="Calibri"/>
        <family val="2"/>
        <scheme val="none"/>
      </font>
      <alignment horizontal="left" vertical="top" textRotation="0" wrapText="0" indent="0" justifyLastLine="0" shrinkToFit="0" readingOrder="0"/>
    </dxf>
    <dxf>
      <font>
        <strike val="0"/>
        <outline val="0"/>
        <shadow val="0"/>
        <u val="none"/>
        <vertAlign val="baseline"/>
        <sz val="9"/>
        <name val="Calibri"/>
        <family val="2"/>
        <scheme val="none"/>
      </font>
      <alignment horizontal="left" vertical="top" textRotation="0" wrapText="0" indent="0" justifyLastLine="0" shrinkToFit="0" readingOrder="0"/>
    </dxf>
    <dxf>
      <font>
        <strike val="0"/>
        <outline val="0"/>
        <shadow val="0"/>
        <u val="none"/>
        <vertAlign val="baseline"/>
        <sz val="9"/>
        <color theme="1"/>
        <name val="Calibri"/>
        <family val="2"/>
        <scheme val="none"/>
      </font>
      <numFmt numFmtId="0" formatCode="General"/>
      <alignment horizontal="left" vertical="top" textRotation="0" wrapText="0" indent="0" justifyLastLine="0" shrinkToFit="0" readingOrder="0"/>
    </dxf>
    <dxf>
      <font>
        <strike val="0"/>
        <outline val="0"/>
        <shadow val="0"/>
        <u val="none"/>
        <vertAlign val="baseline"/>
        <sz val="9"/>
        <name val="Calibri"/>
        <family val="2"/>
        <scheme val="none"/>
      </font>
    </dxf>
    <dxf>
      <font>
        <b/>
        <i val="0"/>
        <strike val="0"/>
        <condense val="0"/>
        <extend val="0"/>
        <outline val="0"/>
        <shadow val="0"/>
        <u val="none"/>
        <vertAlign val="baseline"/>
        <sz val="9"/>
        <color theme="1"/>
        <name val="Calibri"/>
        <family val="2"/>
        <scheme val="none"/>
      </font>
      <numFmt numFmtId="164" formatCode="#,##0.##"/>
      <fill>
        <patternFill patternType="solid">
          <fgColor indexed="64"/>
          <bgColor rgb="FF0C6E54"/>
        </patternFill>
      </fill>
      <alignment horizontal="center" vertical="center" textRotation="0" wrapText="1" indent="0" justifyLastLine="0" shrinkToFit="0" readingOrder="0"/>
    </dxf>
    <dxf>
      <fill>
        <patternFill>
          <bgColor theme="0" tint="-4.9989318521683403E-2"/>
        </patternFill>
      </fill>
    </dxf>
    <dxf>
      <fill>
        <patternFill>
          <bgColor rgb="FFE7FFFF"/>
        </patternFill>
      </fill>
    </dxf>
    <dxf>
      <border>
        <top/>
        <vertical/>
        <horizontal/>
      </border>
    </dxf>
    <dxf>
      <font>
        <color theme="0" tint="-0.24994659260841701"/>
      </font>
    </dxf>
    <dxf>
      <font>
        <strike val="0"/>
        <outline val="0"/>
        <shadow val="0"/>
        <u val="none"/>
        <vertAlign val="baseline"/>
        <sz val="9"/>
        <color theme="1"/>
        <name val="Calibri"/>
        <family val="2"/>
        <scheme val="none"/>
      </font>
      <numFmt numFmtId="164" formatCode="#,##0.##"/>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9"/>
        <color theme="1"/>
        <name val="Calibri"/>
        <family val="2"/>
        <scheme val="none"/>
      </font>
      <numFmt numFmtId="164"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Calibri"/>
        <family val="2"/>
        <scheme val="none"/>
      </font>
      <numFmt numFmtId="164" formatCode="#,##0.##"/>
      <fill>
        <patternFill patternType="none">
          <fgColor indexed="64"/>
          <bgColor auto="1"/>
        </patternFill>
      </fill>
      <alignment horizontal="general" vertical="top" textRotation="0" wrapText="1" indent="0" justifyLastLine="0" shrinkToFit="0" readingOrder="0"/>
    </dxf>
    <dxf>
      <font>
        <strike val="0"/>
        <outline val="0"/>
        <shadow val="0"/>
        <sz val="9"/>
        <name val="Calibri"/>
        <family val="2"/>
        <scheme val="none"/>
      </font>
      <numFmt numFmtId="164" formatCode="#,##0.##"/>
      <fill>
        <patternFill>
          <fgColor indexed="64"/>
          <bgColor theme="0"/>
        </patternFill>
      </fill>
      <alignment horizontal="center" vertical="top" textRotation="0" wrapText="1" indent="0" justifyLastLine="0" shrinkToFit="0" readingOrder="0"/>
      <border diagonalUp="0" diagonalDown="0" outline="0">
        <left style="thin">
          <color theme="6" tint="0.79998168889431442"/>
        </left>
        <right/>
        <top style="thin">
          <color theme="0"/>
        </top>
        <bottom style="thin">
          <color theme="0"/>
        </bottom>
      </border>
    </dxf>
    <dxf>
      <font>
        <b val="0"/>
        <i val="0"/>
        <strike val="0"/>
        <condense val="0"/>
        <extend val="0"/>
        <outline val="0"/>
        <shadow val="0"/>
        <u val="none"/>
        <vertAlign val="baseline"/>
        <sz val="9"/>
        <color theme="1"/>
        <name val="Calibri"/>
        <family val="2"/>
        <scheme val="none"/>
      </font>
      <numFmt numFmtId="34" formatCode="_-&quot;$&quot;* #,##0.00_-;\-&quot;$&quot;* #,##0.00_-;_-&quot;$&quot;* &quot;-&quot;??_-;_-@_-"/>
      <alignment horizontal="center" vertical="top" textRotation="0" wrapText="1" indent="0" justifyLastLine="0" shrinkToFit="0" readingOrder="0"/>
    </dxf>
    <dxf>
      <font>
        <strike val="0"/>
        <outline val="0"/>
        <shadow val="0"/>
        <sz val="9"/>
        <name val="Calibri"/>
        <family val="2"/>
        <scheme val="none"/>
      </font>
      <alignment horizontal="center" vertical="top" textRotation="0" wrapText="1" indent="0" justifyLastLine="0" shrinkToFit="0" readingOrder="0"/>
    </dxf>
    <dxf>
      <font>
        <strike val="0"/>
        <outline val="0"/>
        <shadow val="0"/>
        <sz val="9"/>
        <name val="Calibri"/>
        <family val="2"/>
        <scheme val="none"/>
      </font>
      <numFmt numFmtId="166" formatCode="#,##0.###"/>
      <alignment horizontal="center" vertical="top" textRotation="0" wrapText="1" indent="0" justifyLastLine="0" shrinkToFit="0" readingOrder="0"/>
    </dxf>
    <dxf>
      <font>
        <strike val="0"/>
        <outline val="0"/>
        <shadow val="0"/>
        <u val="none"/>
        <vertAlign val="baseline"/>
        <sz val="9"/>
        <color theme="1"/>
        <name val="Calibri"/>
        <family val="2"/>
        <scheme val="none"/>
      </font>
    </dxf>
    <dxf>
      <font>
        <strike val="0"/>
        <outline val="0"/>
        <shadow val="0"/>
        <sz val="9"/>
        <name val="Calibri"/>
        <family val="2"/>
        <scheme val="none"/>
      </font>
    </dxf>
    <dxf>
      <font>
        <strike val="0"/>
        <outline val="0"/>
        <shadow val="0"/>
        <sz val="9"/>
        <name val="Calibri"/>
        <family val="2"/>
        <scheme val="none"/>
      </font>
      <numFmt numFmtId="0" formatCode="General"/>
      <alignment horizontal="left" vertical="top" textRotation="0" wrapText="0" indent="0" justifyLastLine="0" shrinkToFit="0" readingOrder="0"/>
    </dxf>
    <dxf>
      <font>
        <strike val="0"/>
        <outline val="0"/>
        <shadow val="0"/>
        <sz val="9"/>
        <name val="Calibri"/>
        <family val="2"/>
        <scheme val="none"/>
      </font>
    </dxf>
    <dxf>
      <font>
        <b/>
        <i val="0"/>
        <strike val="0"/>
        <condense val="0"/>
        <extend val="0"/>
        <outline val="0"/>
        <shadow val="0"/>
        <u val="none"/>
        <vertAlign val="baseline"/>
        <sz val="9"/>
        <color theme="1"/>
        <name val="Calibri"/>
        <family val="2"/>
        <scheme val="none"/>
      </font>
      <numFmt numFmtId="164" formatCode="#,##0.##"/>
      <fill>
        <patternFill patternType="none">
          <fgColor indexed="64"/>
          <bgColor rgb="FF0C6E54"/>
        </patternFill>
      </fill>
      <alignment horizontal="center" vertical="center" textRotation="0" wrapText="1" indent="0" justifyLastLine="0" shrinkToFit="0" readingOrder="0"/>
    </dxf>
    <dxf>
      <border>
        <top style="thin">
          <color theme="0" tint="-4.9989318521683403E-2"/>
        </top>
        <vertical/>
        <horizontal/>
      </border>
    </dxf>
    <dxf>
      <font>
        <strike val="0"/>
        <outline val="0"/>
        <shadow val="0"/>
        <sz val="9"/>
        <name val="Calibri"/>
        <family val="2"/>
        <scheme val="none"/>
      </font>
      <alignment horizontal="general" vertical="top" textRotation="0" wrapText="1" indent="0" justifyLastLine="0" shrinkToFit="0" readingOrder="0"/>
      <border outline="0">
        <left style="thin">
          <color theme="6" tint="0.79998168889431442"/>
        </left>
      </border>
    </dxf>
    <dxf>
      <font>
        <strike val="0"/>
        <outline val="0"/>
        <shadow val="0"/>
        <sz val="9"/>
        <name val="Calibri"/>
        <family val="2"/>
        <scheme val="none"/>
      </font>
      <fill>
        <patternFill patternType="none">
          <fgColor indexed="64"/>
          <bgColor auto="1"/>
        </patternFill>
      </fill>
      <alignment horizontal="center" vertical="top" textRotation="0" wrapText="1" indent="0" justifyLastLine="0" shrinkToFit="0" readingOrder="0"/>
      <border diagonalUp="0" diagonalDown="0" outline="0">
        <left/>
        <right/>
        <top style="thin">
          <color theme="0"/>
        </top>
        <bottom style="thin">
          <color theme="0"/>
        </bottom>
      </border>
    </dxf>
    <dxf>
      <font>
        <strike val="0"/>
        <outline val="0"/>
        <shadow val="0"/>
        <sz val="9"/>
        <name val="Calibri"/>
        <family val="2"/>
        <scheme val="none"/>
      </font>
      <alignment horizontal="center" vertical="top" textRotation="0" wrapText="1" indent="0" justifyLastLine="0" shrinkToFit="0" readingOrder="0"/>
      <border outline="0">
        <right style="thin">
          <color theme="6" tint="0.79998168889431442"/>
        </right>
      </border>
    </dxf>
    <dxf>
      <font>
        <strike val="0"/>
        <outline val="0"/>
        <shadow val="0"/>
        <sz val="9"/>
        <name val="Calibri"/>
        <family val="2"/>
        <scheme val="none"/>
      </font>
      <numFmt numFmtId="166" formatCode="#,##0.###"/>
      <alignment horizontal="center" vertical="top" textRotation="0" wrapText="1" indent="0" justifyLastLine="0" shrinkToFit="0" readingOrder="0"/>
    </dxf>
    <dxf>
      <font>
        <b val="0"/>
        <i val="0"/>
        <strike val="0"/>
        <condense val="0"/>
        <extend val="0"/>
        <outline val="0"/>
        <shadow val="0"/>
        <u val="none"/>
        <vertAlign val="baseline"/>
        <sz val="9"/>
        <color theme="1"/>
        <name val="Calibri"/>
        <family val="2"/>
        <scheme val="none"/>
      </font>
      <numFmt numFmtId="164" formatCode="#,##0.##"/>
      <fill>
        <patternFill patternType="none">
          <fgColor indexed="64"/>
          <bgColor indexed="65"/>
        </patternFill>
      </fill>
      <alignment horizontal="general" vertical="top" textRotation="0" wrapText="1" indent="0" justifyLastLine="0" shrinkToFit="0" readingOrder="0"/>
    </dxf>
    <dxf>
      <font>
        <strike val="0"/>
        <outline val="0"/>
        <shadow val="0"/>
        <sz val="9"/>
        <name val="Calibri"/>
        <family val="2"/>
        <scheme val="none"/>
      </font>
    </dxf>
    <dxf>
      <font>
        <strike val="0"/>
        <outline val="0"/>
        <shadow val="0"/>
        <u val="none"/>
        <vertAlign val="baseline"/>
        <sz val="9"/>
        <color theme="1"/>
        <name val="Calibri"/>
        <family val="2"/>
        <scheme val="none"/>
      </font>
      <numFmt numFmtId="0" formatCode="General"/>
      <alignment horizontal="general" vertical="top" textRotation="0" wrapText="0" indent="0" justifyLastLine="0" shrinkToFit="0" readingOrder="0"/>
    </dxf>
    <dxf>
      <font>
        <strike val="0"/>
        <outline val="0"/>
        <shadow val="0"/>
        <u val="none"/>
        <vertAlign val="baseline"/>
        <sz val="9"/>
        <color theme="0" tint="-0.249977111117893"/>
        <name val="Calibri"/>
        <family val="2"/>
        <scheme val="none"/>
      </font>
      <numFmt numFmtId="0" formatCode="General"/>
    </dxf>
    <dxf>
      <font>
        <strike val="0"/>
        <outline val="0"/>
        <shadow val="0"/>
        <sz val="9"/>
        <name val="Calibri"/>
        <family val="2"/>
        <scheme val="none"/>
      </font>
    </dxf>
    <dxf>
      <font>
        <b/>
        <i val="0"/>
        <strike val="0"/>
        <condense val="0"/>
        <extend val="0"/>
        <outline val="0"/>
        <shadow val="0"/>
        <u val="none"/>
        <vertAlign val="baseline"/>
        <sz val="9"/>
        <color theme="1"/>
        <name val="Calibri"/>
        <family val="2"/>
        <scheme val="none"/>
      </font>
      <numFmt numFmtId="164" formatCode="#,##0.##"/>
      <fill>
        <patternFill patternType="none">
          <fgColor indexed="64"/>
          <bgColor auto="1"/>
        </patternFill>
      </fill>
      <alignment horizontal="center" vertical="center" textRotation="0" wrapText="1" indent="0" justifyLastLine="0" shrinkToFit="0" readingOrder="0"/>
    </dxf>
    <dxf>
      <border>
        <top style="thin">
          <color theme="0" tint="-4.9989318521683403E-2"/>
        </top>
        <vertical/>
        <horizontal/>
      </border>
    </dxf>
  </dxfs>
  <tableStyles count="0" defaultTableStyle="TableStyleMedium2" defaultPivotStyle="PivotStyleLight16"/>
  <colors>
    <mruColors>
      <color rgb="FFFFFF99"/>
      <color rgb="FFE7FFFF"/>
      <color rgb="FFCCECFF"/>
      <color rgb="FF0C6E54"/>
      <color rgb="FF336699"/>
      <color rgb="FF0066CC"/>
      <color rgb="FFCCFFFF"/>
      <color rgb="FFBEF8E9"/>
      <color rgb="FFFFCC9B"/>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47625</xdr:colOff>
      <xdr:row>2</xdr:row>
      <xdr:rowOff>1</xdr:rowOff>
    </xdr:from>
    <xdr:to>
      <xdr:col>9</xdr:col>
      <xdr:colOff>1565851</xdr:colOff>
      <xdr:row>4</xdr:row>
      <xdr:rowOff>415291</xdr:rowOff>
    </xdr:to>
    <xdr:pic>
      <xdr:nvPicPr>
        <xdr:cNvPr id="3" name="Picture 2">
          <a:extLst>
            <a:ext uri="{FF2B5EF4-FFF2-40B4-BE49-F238E27FC236}">
              <a16:creationId xmlns:a16="http://schemas.microsoft.com/office/drawing/2014/main" id="{B3F71248-3F3B-466B-B63C-9977334093A9}"/>
            </a:ext>
          </a:extLst>
        </xdr:cNvPr>
        <xdr:cNvPicPr>
          <a:picLocks noChangeAspect="1"/>
        </xdr:cNvPicPr>
      </xdr:nvPicPr>
      <xdr:blipFill>
        <a:blip xmlns:r="http://schemas.openxmlformats.org/officeDocument/2006/relationships" r:embed="rId1"/>
        <a:stretch>
          <a:fillRect/>
        </a:stretch>
      </xdr:blipFill>
      <xdr:spPr>
        <a:xfrm>
          <a:off x="7477125" y="466726"/>
          <a:ext cx="2544386" cy="986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635000</xdr:colOff>
      <xdr:row>0</xdr:row>
      <xdr:rowOff>44450</xdr:rowOff>
    </xdr:from>
    <xdr:to>
      <xdr:col>11</xdr:col>
      <xdr:colOff>902948</xdr:colOff>
      <xdr:row>3</xdr:row>
      <xdr:rowOff>360682</xdr:rowOff>
    </xdr:to>
    <xdr:pic>
      <xdr:nvPicPr>
        <xdr:cNvPr id="6" name="Picture 5">
          <a:extLst>
            <a:ext uri="{FF2B5EF4-FFF2-40B4-BE49-F238E27FC236}">
              <a16:creationId xmlns:a16="http://schemas.microsoft.com/office/drawing/2014/main" id="{EE6E2F86-245B-4193-AF62-1642580F40D2}"/>
            </a:ext>
          </a:extLst>
        </xdr:cNvPr>
        <xdr:cNvPicPr>
          <a:picLocks noChangeAspect="1"/>
        </xdr:cNvPicPr>
      </xdr:nvPicPr>
      <xdr:blipFill>
        <a:blip xmlns:r="http://schemas.openxmlformats.org/officeDocument/2006/relationships" r:embed="rId1"/>
        <a:stretch>
          <a:fillRect/>
        </a:stretch>
      </xdr:blipFill>
      <xdr:spPr>
        <a:xfrm>
          <a:off x="8337550" y="44450"/>
          <a:ext cx="2775563" cy="11512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268726</xdr:colOff>
      <xdr:row>0</xdr:row>
      <xdr:rowOff>66675</xdr:rowOff>
    </xdr:from>
    <xdr:to>
      <xdr:col>12</xdr:col>
      <xdr:colOff>0</xdr:colOff>
      <xdr:row>4</xdr:row>
      <xdr:rowOff>209550</xdr:rowOff>
    </xdr:to>
    <xdr:pic>
      <xdr:nvPicPr>
        <xdr:cNvPr id="4" name="Picture 3">
          <a:extLst>
            <a:ext uri="{FF2B5EF4-FFF2-40B4-BE49-F238E27FC236}">
              <a16:creationId xmlns:a16="http://schemas.microsoft.com/office/drawing/2014/main" id="{C19C2E33-03D0-4A40-A246-F031FDCFA962}"/>
            </a:ext>
          </a:extLst>
        </xdr:cNvPr>
        <xdr:cNvPicPr>
          <a:picLocks noChangeAspect="1"/>
        </xdr:cNvPicPr>
      </xdr:nvPicPr>
      <xdr:blipFill>
        <a:blip xmlns:r="http://schemas.openxmlformats.org/officeDocument/2006/relationships" r:embed="rId1"/>
        <a:stretch>
          <a:fillRect/>
        </a:stretch>
      </xdr:blipFill>
      <xdr:spPr>
        <a:xfrm>
          <a:off x="6802876" y="66675"/>
          <a:ext cx="2741174" cy="1076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161290</xdr:colOff>
      <xdr:row>0</xdr:row>
      <xdr:rowOff>34290</xdr:rowOff>
    </xdr:from>
    <xdr:to>
      <xdr:col>15</xdr:col>
      <xdr:colOff>778296</xdr:colOff>
      <xdr:row>5</xdr:row>
      <xdr:rowOff>213727</xdr:rowOff>
    </xdr:to>
    <xdr:pic>
      <xdr:nvPicPr>
        <xdr:cNvPr id="2" name="Picture 1">
          <a:extLst>
            <a:ext uri="{FF2B5EF4-FFF2-40B4-BE49-F238E27FC236}">
              <a16:creationId xmlns:a16="http://schemas.microsoft.com/office/drawing/2014/main" id="{A1F56681-B631-4B15-9865-310DCA4B00DE}"/>
            </a:ext>
          </a:extLst>
        </xdr:cNvPr>
        <xdr:cNvPicPr>
          <a:picLocks noChangeAspect="1"/>
        </xdr:cNvPicPr>
      </xdr:nvPicPr>
      <xdr:blipFill>
        <a:blip xmlns:r="http://schemas.openxmlformats.org/officeDocument/2006/relationships" r:embed="rId1"/>
        <a:stretch>
          <a:fillRect/>
        </a:stretch>
      </xdr:blipFill>
      <xdr:spPr>
        <a:xfrm>
          <a:off x="8841740" y="34290"/>
          <a:ext cx="3144306" cy="13541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114300</xdr:colOff>
      <xdr:row>0</xdr:row>
      <xdr:rowOff>22860</xdr:rowOff>
    </xdr:from>
    <xdr:to>
      <xdr:col>15</xdr:col>
      <xdr:colOff>784011</xdr:colOff>
      <xdr:row>5</xdr:row>
      <xdr:rowOff>174992</xdr:rowOff>
    </xdr:to>
    <xdr:pic>
      <xdr:nvPicPr>
        <xdr:cNvPr id="2" name="Picture 1">
          <a:extLst>
            <a:ext uri="{FF2B5EF4-FFF2-40B4-BE49-F238E27FC236}">
              <a16:creationId xmlns:a16="http://schemas.microsoft.com/office/drawing/2014/main" id="{71886944-6340-4B9F-9EE2-59DC3B234478}"/>
            </a:ext>
          </a:extLst>
        </xdr:cNvPr>
        <xdr:cNvPicPr>
          <a:picLocks noChangeAspect="1"/>
        </xdr:cNvPicPr>
      </xdr:nvPicPr>
      <xdr:blipFill>
        <a:blip xmlns:r="http://schemas.openxmlformats.org/officeDocument/2006/relationships" r:embed="rId1"/>
        <a:stretch>
          <a:fillRect/>
        </a:stretch>
      </xdr:blipFill>
      <xdr:spPr>
        <a:xfrm>
          <a:off x="9464040" y="22860"/>
          <a:ext cx="3395766" cy="130465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1107120-BCB9-45CA-9AA2-05EB82216EAB}" name="IN_TBL" displayName="IN_TBL" ref="C7:J43" totalsRowShown="0" headerRowDxfId="95" dataDxfId="94">
  <autoFilter ref="C7:J43" xr:uid="{26EC8386-A3C0-4366-A5D4-888C163E0AC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4F0E002-084A-4B19-8710-85927CDA798E}" name="_x000a_Question No._x000a_" dataDxfId="93"/>
    <tableColumn id="2" xr3:uid="{E4CABCD9-BA06-423D-AF1A-F4A44C77D1AB}" name="Application Section" dataDxfId="92"/>
    <tableColumn id="10" xr3:uid="{2C0A559C-603E-4216-97D4-6E58B566C27E}" name="Input Description" dataDxfId="91"/>
    <tableColumn id="3" xr3:uid="{57FB3AC9-217E-4BE1-9D8D-DBB3EAC52050}" name="Where are the costs calculated from this input?" dataDxfId="90"/>
    <tableColumn id="6" xr3:uid="{4F263BC5-F7B6-4DD1-85CC-2BE9F24B24E9}" name="INPUT" dataDxfId="89"/>
    <tableColumn id="9" xr3:uid="{F70A8ED9-22C8-419E-85D0-2B652F4C4FFA}" name="Units" dataDxfId="88"/>
    <tableColumn id="4" xr3:uid="{B0BA5C94-5BA8-4CB4-8291-C6795A8F89E5}" name=".2" dataDxfId="87"/>
    <tableColumn id="7" xr3:uid="{90A161DD-8D06-467E-8890-AAF19A8661C7}" name="Applicant's Rationale for Input" dataDxfId="86"/>
  </tableColumns>
  <tableStyleInfo name="TableStyleMedium4"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AC23F50-5F07-44FA-80B7-3BD326B1ACDA}" name="IN_co_TBL" displayName="IN_co_TBL" ref="C6:L52" totalsRowShown="0" headerRowDxfId="84" dataDxfId="83">
  <autoFilter ref="C6:L52" xr:uid="{26EC8386-A3C0-4366-A5D4-888C163E0AC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3" xr3:uid="{5E559AE2-1A31-430E-983E-C266B68DBC0B}" name="Project Specific Cost Item" dataDxfId="82"/>
    <tableColumn id="10" xr3:uid="{944EAC9D-4EC4-4E5C-9908-01B0D3DF0E44}" name="Description" dataDxfId="81"/>
    <tableColumn id="4" xr3:uid="{B9BC6DC1-D14E-4B58-B5D4-F3E2E43BF740}" name="Costing Detail" dataDxfId="80"/>
    <tableColumn id="6" xr3:uid="{7600E5B3-5455-4190-AA33-8AC55027A939}" name="INPUT" dataDxfId="79"/>
    <tableColumn id="9" xr3:uid="{065465C2-4BA1-4598-9DB7-FAD29C34265C}" name="Units" dataDxfId="78"/>
    <tableColumn id="8" xr3:uid="{E885A84E-05CC-4FDF-A079-6FD9AEB84864}" name="Assigned Cost" dataDxfId="77"/>
    <tableColumn id="14" xr3:uid="{D3C7C6EE-94EB-4E0B-B1DE-E67B8AB624B1}" name="." dataDxfId="76"/>
    <tableColumn id="1" xr3:uid="{DB77A3FA-37E5-4944-99C6-E3CB76E6BA6B}" name="Applicant's Rationale for Input" dataDxfId="75"/>
    <tableColumn id="13" xr3:uid="{82FB411A-2FBC-43A0-95BE-58911A730EE2}" name="Variables" dataDxfId="74"/>
    <tableColumn id="5" xr3:uid="{2DA1E714-58EF-4164-8CAA-8E450C77C22F}" name="Units2" dataDxfId="73"/>
  </tableColumns>
  <tableStyleInfo name="TableStyleMedium4"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A6EE1BE-E27C-465D-8AA7-093FA78A4E42}" name="OUT_TBL" displayName="OUT_TBL" ref="C6:L89" totalsRowShown="0" headerRowDxfId="68" dataDxfId="67">
  <autoFilter ref="C6:L89" xr:uid="{26EC8386-A3C0-4366-A5D4-888C163E0AC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 xr3:uid="{DAFD8E8B-2F4F-45F1-AAFE-FD97A1AAA1DC}" name="Cost Category" dataDxfId="66"/>
    <tableColumn id="3" xr3:uid="{44F490AB-DA4A-4AFA-B553-CA4E0DA95839}" name="Sub Category" dataDxfId="65"/>
    <tableColumn id="5" xr3:uid="{E8CC70F4-204A-4971-B892-176B0FE7CB39}" name="Activity No." dataDxfId="64"/>
    <tableColumn id="10" xr3:uid="{07079BAA-0132-40C6-9895-4B8199DFDE01}" name="Reclamation Activity" dataDxfId="63"/>
    <tableColumn id="7" xr3:uid="{98809BC8-0430-4CCA-89F2-04E50C6053BB}" name="Quantities" dataDxfId="62"/>
    <tableColumn id="11" xr3:uid="{ABEDD6BF-5AE5-4EC9-9B3D-8EA6E1780AFF}" name="Units" dataDxfId="61"/>
    <tableColumn id="4" xr3:uid="{00F9328D-3A59-4C15-9B23-C1AACC18D91C}" name="Unit Rate" dataDxfId="60"/>
    <tableColumn id="9" xr3:uid="{77C98FDA-97AD-4956-9B41-EB9CB22CF444}" name="Costing Subtotals" dataDxfId="59"/>
    <tableColumn id="8" xr3:uid="{2EA3C2B8-B78A-4730-94A4-0B482B5CDF07}" name="Security Amount" dataDxfId="58"/>
    <tableColumn id="6" xr3:uid="{E7F7D883-30B8-4762-9E84-5C7A49AF9FC0}" name="Subtotals" dataDxfId="57"/>
  </tableColumns>
  <tableStyleInfo name="TableStyleMedium5"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0E3040B-BF17-4D26-89F3-87E51FAB8042}" name="Q_TBL" displayName="Q_TBL" ref="C8:U87" totalsRowShown="0" headerRowDxfId="53" dataDxfId="52">
  <autoFilter ref="C8:U87" xr:uid="{26EC8386-A3C0-4366-A5D4-888C163E0AC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E7F1E46B-8608-42E6-A462-F50950478B23}" name="_x000a_ID_x000a_" dataDxfId="51"/>
    <tableColumn id="2" xr3:uid="{63482A0D-75AA-4064-BF2D-412CE8414BF6}" name="Cost Category" dataDxfId="50"/>
    <tableColumn id="3" xr3:uid="{8B27129E-2BDE-4B44-B909-1C35D9F293E0}" name="Sub Category" dataDxfId="49"/>
    <tableColumn id="5" xr3:uid="{CE52D7DF-E9F7-410C-9917-D6421DCF8302}" name="Activity No." dataDxfId="48"/>
    <tableColumn id="10" xr3:uid="{742E0A7C-EE29-4272-B4E3-BAF2D7D54D09}" name="Reclamation Activity" dataDxfId="47"/>
    <tableColumn id="8" xr3:uid="{ED59EBBB-1962-4A01-B902-D5A5DEF3E3CE}" name="Costing Detail" dataDxfId="46"/>
    <tableColumn id="14" xr3:uid="{F8AC6641-5F98-4393-9943-D1FAE8CD515D}" name="." dataDxfId="45"/>
    <tableColumn id="13" xr3:uid="{166CDCAF-7DEE-4234-B59B-F55D21E761A2}" name="Input Worksheet-Row ID" dataDxfId="44"/>
    <tableColumn id="4" xr3:uid="{1CF98CC7-C945-496B-9E02-013CC23D837F}" name="Variable1" dataDxfId="43"/>
    <tableColumn id="6" xr3:uid="{6946549D-A6B8-449D-88FE-5649E226D186}" name="Variable2" dataDxfId="42"/>
    <tableColumn id="9" xr3:uid="{0E0D63A2-28D0-4FFE-941D-D007E515DC68}" name="Variable3" dataDxfId="41"/>
    <tableColumn id="12" xr3:uid="{E2B12EE8-F879-46D5-8853-5ED65B0CA53D}" name=".." dataDxfId="40"/>
    <tableColumn id="7" xr3:uid="{0D21FB52-5C4B-4B2A-A2DF-0A2F9265A090}" name="Quantity" dataDxfId="39"/>
    <tableColumn id="11" xr3:uid="{7F01A971-83BD-41A9-B1DD-61B1AB9DFB59}" name="Units" dataDxfId="38"/>
    <tableColumn id="17" xr3:uid="{EFE2CD69-FADE-4B80-A062-4781BA62B21B}" name="Column1" dataDxfId="37"/>
    <tableColumn id="19" xr3:uid="{73F7FEE2-A547-4E71-98C1-EE5C593CB004}" name="Column12" dataDxfId="36"/>
    <tableColumn id="15" xr3:uid="{7D96B873-5902-4CE0-AC73-FA60825EA72E}" name="Production" dataDxfId="35"/>
    <tableColumn id="18" xr3:uid="{9837B084-4FC2-4BB7-A148-5FB4C8AFFFAD}" name="Production - units/ crewday" dataDxfId="34"/>
    <tableColumn id="16" xr3:uid="{6D703F58-0C1A-4D0C-8CDD-65129618F8E7}" name="Work - crewday" dataDxfId="33"/>
  </tableColumns>
  <tableStyleInfo name="TableStyleMedium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2C7318-4D37-49DF-84A6-3664CB1FFC51}" name="RATE_TBL" displayName="RATE_TBL" ref="C7:P115" totalsRowShown="0" headerRowDxfId="29" dataDxfId="28">
  <autoFilter ref="C7:P115" xr:uid="{26EC8386-A3C0-4366-A5D4-888C163E0AC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CC2CEB61-3798-454C-8F11-ADE60F6F75B3}" name="_x000a_ID_x000a_" dataDxfId="27"/>
    <tableColumn id="2" xr3:uid="{8AD5DD85-4EC1-4ED6-9330-2249BF9F1608}" name="Cost Category" dataDxfId="26"/>
    <tableColumn id="3" xr3:uid="{B8F34083-022A-4602-8615-FBB8129E3A4C}" name="Sub Category" dataDxfId="25"/>
    <tableColumn id="5" xr3:uid="{76F1A1B3-02E3-4A26-BFE0-A37A45443DD4}" name="Activity No." dataDxfId="24"/>
    <tableColumn id="10" xr3:uid="{FAA90727-6FAE-45C2-B7EF-DCDD7746088E}" name="Reclamation Activity" dataDxfId="23"/>
    <tableColumn id="8" xr3:uid="{1244C7B5-BB02-40B3-97AE-BB3EC56AFB5E}" name="Costing Detail" dataDxfId="22"/>
    <tableColumn id="7" xr3:uid="{FF09F406-EB78-4EA8-93F2-5781F58017A8}" name="." dataDxfId="21"/>
    <tableColumn id="14" xr3:uid="{389949CA-B525-48C9-9F0B-F61644955D4F}" name="Input Worksheet Row ID" dataDxfId="20"/>
    <tableColumn id="4" xr3:uid="{45BBFE34-E8CA-4013-9DED-80778288FB6D}" name="Variable1 - (e.g. daily work production)" dataDxfId="19"/>
    <tableColumn id="6" xr3:uid="{05076823-E7E1-4B42-BE5B-265E5ED0ED38}" name="Variable2 - (e.g. daily/ unit cost)_x000a_" dataDxfId="18"/>
    <tableColumn id="9" xr3:uid="{5DDDCFA1-5012-4C48-AEB4-DDAF4CC9E18F}" name="Variable3 - (e.g. quote or calc cost)" dataDxfId="17"/>
    <tableColumn id="13" xr3:uid="{36AA512C-D66B-49B5-99A0-8F8A05FC0257}" name=".." dataDxfId="16"/>
    <tableColumn id="11" xr3:uid="{8AB29428-B787-4558-A421-3872FD45A460}" name="Units" dataDxfId="15"/>
    <tableColumn id="12" xr3:uid="{7B4A9EB0-4FE8-48DC-887A-9F01CCA2AC1F}" name="Unit Rate" dataDxfId="14" dataCellStyle="Currency"/>
  </tableColumns>
  <tableStyleInfo name="TableStyleMedium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62A3AAF-CDD0-4E35-94B8-BF69FEF104C5}" name="Table1" displayName="Table1" ref="C3:F6" totalsRowShown="0" headerRowDxfId="13" dataDxfId="12">
  <tableColumns count="4">
    <tableColumn id="1" xr3:uid="{D38645A0-2E3C-47C2-80C1-45217735675B}" name="_x000a_ID_x000a_" dataDxfId="11"/>
    <tableColumn id="2" xr3:uid="{6710DB52-A6E2-4B13-9FCB-78678D2FE944}" name="Version" dataDxfId="10"/>
    <tableColumn id="3" xr3:uid="{6478C28F-B07E-4AD5-AB5C-87514CC763E5}" name="Date" dataDxfId="9"/>
    <tableColumn id="4" xr3:uid="{E187D466-AE76-4513-B3FB-7560F6C109CC}" name="Description" dataDxfId="8"/>
  </tableColumns>
  <tableStyleInfo name="TableStyleMedium2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3C376EF-0998-4905-9F9C-9156B08D1E1A}" name="SYS_gen" displayName="SYS_gen" ref="C3:H12" totalsRowShown="0" headerRowDxfId="7" dataDxfId="6">
  <autoFilter ref="C3:H12" xr:uid="{38008DF8-38EB-48E2-8718-26B03EE08288}">
    <filterColumn colId="0" hiddenButton="1"/>
    <filterColumn colId="1" hiddenButton="1"/>
    <filterColumn colId="2" hiddenButton="1"/>
    <filterColumn colId="3" hiddenButton="1"/>
    <filterColumn colId="4" hiddenButton="1"/>
    <filterColumn colId="5" hiddenButton="1"/>
  </autoFilter>
  <tableColumns count="6">
    <tableColumn id="1" xr3:uid="{7B76A528-579A-43C4-8282-D4D76AE4FD49}" name="_x000a_ID_x000a_" dataDxfId="5"/>
    <tableColumn id="5" xr3:uid="{816FCAC8-C4F7-4E78-9B59-5F813C7D61BE}" name="Section" dataDxfId="4"/>
    <tableColumn id="2" xr3:uid="{D4D79EA9-87E5-4E8D-B786-F98A5C08A2F8}" name="Sub-Sect." dataDxfId="3"/>
    <tableColumn id="3" xr3:uid="{24F38E97-71F4-428E-94BB-7170ECD8120F}" name="Item" dataDxfId="2"/>
    <tableColumn id="6" xr3:uid="{81D3FC3D-108D-483C-B371-AC1A246E4C6C}" name="Entry" dataDxfId="1"/>
    <tableColumn id="4" xr3:uid="{B7C28770-BD90-4646-8BE1-6F4CE4A849C7}" name="Detail" dataDxfId="0"/>
  </tableColumns>
  <tableStyleInfo name="TableStyleMedium22" showFirstColumn="0" showLastColumn="0" showRowStripes="0" showColumnStripes="0"/>
</table>
</file>

<file path=xl/theme/theme1.xml><?xml version="1.0" encoding="utf-8"?>
<a:theme xmlns:a="http://schemas.openxmlformats.org/drawingml/2006/main" name="Office Theme">
  <a:themeElements>
    <a:clrScheme name="Aspect">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statsnwt.ca/prices-expenditures/cpi/" TargetMode="External"/><Relationship Id="rId1" Type="http://schemas.openxmlformats.org/officeDocument/2006/relationships/hyperlink" Target="https://www.statsnwt.ca/prices-expenditures/cpi/historical_cpi/index.html" TargetMode="Externa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0918D-AA8E-49E3-AB08-FB9FFAEB2D3D}">
  <sheetPr codeName="Sheet2">
    <tabColor rgb="FF0C6E54"/>
    <pageSetUpPr fitToPage="1"/>
  </sheetPr>
  <dimension ref="A1:L47"/>
  <sheetViews>
    <sheetView tabSelected="1" zoomScaleNormal="100" workbookViewId="0">
      <pane xSplit="5" ySplit="7" topLeftCell="F8" activePane="bottomRight" state="frozen"/>
      <selection activeCell="O11" sqref="O11"/>
      <selection pane="topRight" activeCell="O11" sqref="O11"/>
      <selection pane="bottomLeft" activeCell="O11" sqref="O11"/>
      <selection pane="bottomRight"/>
    </sheetView>
  </sheetViews>
  <sheetFormatPr defaultColWidth="8.77734375" defaultRowHeight="18" outlineLevelRow="1" x14ac:dyDescent="0.3"/>
  <cols>
    <col min="1" max="1" width="1.6640625" style="8" customWidth="1"/>
    <col min="2" max="2" width="3.6640625" style="32" customWidth="1"/>
    <col min="3" max="3" width="10.6640625" style="2" customWidth="1"/>
    <col min="4" max="4" width="10.6640625" style="1" customWidth="1"/>
    <col min="5" max="5" width="36.6640625" style="3" customWidth="1"/>
    <col min="6" max="6" width="24.6640625" style="7" customWidth="1"/>
    <col min="7" max="7" width="18.6640625" style="6" customWidth="1"/>
    <col min="8" max="8" width="12.6640625" style="6" customWidth="1"/>
    <col min="9" max="9" width="1.6640625" style="1" customWidth="1"/>
    <col min="10" max="10" width="24.6640625" style="23" customWidth="1"/>
    <col min="11" max="11" width="1.6640625" style="1" customWidth="1"/>
    <col min="12" max="16384" width="8.77734375" style="1"/>
  </cols>
  <sheetData>
    <row r="1" spans="1:12" s="193" customFormat="1" x14ac:dyDescent="0.3">
      <c r="A1" s="294" t="str">
        <f>"Security Estimate Tool - "&amp;G8</f>
        <v>Security Estimate Tool - DRAFT 3 - Blank</v>
      </c>
      <c r="B1" s="188"/>
      <c r="C1" s="189"/>
      <c r="D1" s="100"/>
      <c r="E1" s="190"/>
      <c r="F1" s="191"/>
      <c r="G1" s="192"/>
      <c r="H1" s="192"/>
    </row>
    <row r="2" spans="1:12" s="193" customFormat="1" ht="18.600000000000001" outlineLevel="1" thickBot="1" x14ac:dyDescent="0.35">
      <c r="A2" s="187"/>
      <c r="B2" s="188"/>
      <c r="C2" s="189"/>
      <c r="D2" s="100"/>
      <c r="E2" s="190"/>
      <c r="F2" s="191"/>
      <c r="G2" s="192"/>
      <c r="H2" s="192"/>
    </row>
    <row r="3" spans="1:12" s="193" customFormat="1" ht="26.55" customHeight="1" outlineLevel="1" x14ac:dyDescent="0.3">
      <c r="A3" s="187"/>
      <c r="B3" s="188"/>
      <c r="C3" s="300" t="s">
        <v>328</v>
      </c>
      <c r="D3" s="301"/>
      <c r="E3" s="301"/>
      <c r="F3" s="302"/>
      <c r="G3" s="194" t="s">
        <v>87</v>
      </c>
      <c r="H3" s="186"/>
    </row>
    <row r="4" spans="1:12" s="193" customFormat="1" ht="18.600000000000001" outlineLevel="1" thickBot="1" x14ac:dyDescent="0.35">
      <c r="A4" s="187"/>
      <c r="B4" s="188"/>
      <c r="C4" s="303"/>
      <c r="D4" s="304"/>
      <c r="E4" s="304"/>
      <c r="F4" s="305"/>
      <c r="G4" s="195">
        <f>'Security Estimate Calcs'!$F$3</f>
        <v>0</v>
      </c>
      <c r="H4" s="186"/>
    </row>
    <row r="5" spans="1:12" s="193" customFormat="1" ht="128.4" customHeight="1" outlineLevel="1" thickBot="1" x14ac:dyDescent="0.35">
      <c r="A5" s="187"/>
      <c r="B5" s="188"/>
      <c r="C5" s="306"/>
      <c r="D5" s="307"/>
      <c r="E5" s="307"/>
      <c r="F5" s="308"/>
      <c r="G5" s="286" t="str">
        <f>"You have answered "&amp;COUNTA(G14,G15,G17,G19,G20,G22,G23,G25,G26,G27,G29,G30,G32,G33,G34,G36,G37,G39,G40)&amp;" out of 19 questions."</f>
        <v>You have answered 0 out of 19 questions.</v>
      </c>
      <c r="H5" s="186"/>
    </row>
    <row r="6" spans="1:12" s="193" customFormat="1" x14ac:dyDescent="0.3">
      <c r="A6" s="187"/>
      <c r="B6" s="188"/>
      <c r="C6" s="186"/>
      <c r="E6" s="190"/>
      <c r="F6" s="190"/>
      <c r="G6" s="186"/>
      <c r="H6" s="186"/>
    </row>
    <row r="7" spans="1:12" s="13" customFormat="1" ht="36" x14ac:dyDescent="0.3">
      <c r="A7" s="11"/>
      <c r="B7" s="33"/>
      <c r="C7" s="209" t="s">
        <v>269</v>
      </c>
      <c r="D7" s="209" t="s">
        <v>195</v>
      </c>
      <c r="E7" s="209" t="s">
        <v>169</v>
      </c>
      <c r="F7" s="210" t="s">
        <v>270</v>
      </c>
      <c r="G7" s="210" t="s">
        <v>125</v>
      </c>
      <c r="H7" s="210" t="s">
        <v>3</v>
      </c>
      <c r="I7" s="89" t="s">
        <v>268</v>
      </c>
      <c r="J7" s="210" t="s">
        <v>308</v>
      </c>
      <c r="L7" s="182"/>
    </row>
    <row r="8" spans="1:12" x14ac:dyDescent="0.3">
      <c r="C8" s="111"/>
      <c r="D8" s="100"/>
      <c r="E8" s="15" t="s">
        <v>96</v>
      </c>
      <c r="F8" s="31"/>
      <c r="G8" s="246" t="s">
        <v>329</v>
      </c>
      <c r="H8" s="95"/>
      <c r="I8" s="196"/>
      <c r="J8" s="204"/>
      <c r="L8" s="23"/>
    </row>
    <row r="9" spans="1:12" x14ac:dyDescent="0.3">
      <c r="C9" s="111"/>
      <c r="D9" s="100"/>
      <c r="E9" s="15" t="s">
        <v>133</v>
      </c>
      <c r="F9" s="31"/>
      <c r="G9" s="246" t="s">
        <v>186</v>
      </c>
      <c r="H9" s="95"/>
      <c r="I9" s="196"/>
      <c r="J9" s="204"/>
      <c r="L9" s="23"/>
    </row>
    <row r="10" spans="1:12" x14ac:dyDescent="0.3">
      <c r="C10" s="111"/>
      <c r="D10" s="100"/>
      <c r="E10" s="15" t="s">
        <v>134</v>
      </c>
      <c r="F10" s="31"/>
      <c r="G10" s="246" t="s">
        <v>141</v>
      </c>
      <c r="H10" s="95"/>
      <c r="I10" s="196"/>
      <c r="J10" s="204"/>
      <c r="L10" s="23"/>
    </row>
    <row r="11" spans="1:12" x14ac:dyDescent="0.3">
      <c r="C11" s="111"/>
      <c r="D11" s="100"/>
      <c r="E11" s="15" t="s">
        <v>135</v>
      </c>
      <c r="F11" s="31"/>
      <c r="G11" s="246" t="s">
        <v>142</v>
      </c>
      <c r="H11" s="95"/>
      <c r="I11" s="196"/>
      <c r="J11" s="204"/>
      <c r="L11" s="23"/>
    </row>
    <row r="12" spans="1:12" x14ac:dyDescent="0.3">
      <c r="C12" s="111"/>
      <c r="D12" s="100"/>
      <c r="E12" s="17" t="s">
        <v>4</v>
      </c>
      <c r="F12" s="31"/>
      <c r="G12" s="247" t="s">
        <v>205</v>
      </c>
      <c r="H12" s="184"/>
      <c r="I12" s="197"/>
      <c r="J12" s="15"/>
      <c r="L12" s="23"/>
    </row>
    <row r="13" spans="1:12" x14ac:dyDescent="0.3">
      <c r="C13" s="241"/>
      <c r="D13" s="242" t="s">
        <v>196</v>
      </c>
      <c r="E13" s="243"/>
      <c r="F13" s="244"/>
      <c r="G13" s="211"/>
      <c r="H13" s="245"/>
      <c r="I13" s="196"/>
      <c r="J13" s="244"/>
      <c r="L13" s="23"/>
    </row>
    <row r="14" spans="1:12" ht="132" x14ac:dyDescent="0.3">
      <c r="C14" s="171">
        <v>1</v>
      </c>
      <c r="D14" s="92"/>
      <c r="E14" s="19" t="s">
        <v>305</v>
      </c>
      <c r="F14" s="30" t="s">
        <v>332</v>
      </c>
      <c r="G14" s="248"/>
      <c r="H14" s="94" t="s">
        <v>32</v>
      </c>
      <c r="I14" s="196"/>
      <c r="J14" s="35"/>
      <c r="L14" s="23"/>
    </row>
    <row r="15" spans="1:12" ht="84" x14ac:dyDescent="0.3">
      <c r="C15" s="171">
        <v>2</v>
      </c>
      <c r="D15" s="92"/>
      <c r="E15" s="19" t="s">
        <v>334</v>
      </c>
      <c r="F15" s="30" t="s">
        <v>313</v>
      </c>
      <c r="G15" s="249"/>
      <c r="H15" s="95" t="s">
        <v>37</v>
      </c>
      <c r="I15" s="196"/>
      <c r="J15" s="204"/>
      <c r="L15" s="23"/>
    </row>
    <row r="16" spans="1:12" x14ac:dyDescent="0.3">
      <c r="C16" s="241"/>
      <c r="D16" s="242" t="s">
        <v>197</v>
      </c>
      <c r="E16" s="243"/>
      <c r="F16" s="244"/>
      <c r="G16" s="211"/>
      <c r="H16" s="245"/>
      <c r="I16" s="196"/>
      <c r="J16" s="244"/>
      <c r="L16" s="23"/>
    </row>
    <row r="17" spans="3:12" ht="145.80000000000001" x14ac:dyDescent="0.3">
      <c r="C17" s="171">
        <v>3</v>
      </c>
      <c r="D17" s="92"/>
      <c r="E17" s="19" t="s">
        <v>294</v>
      </c>
      <c r="F17" s="30" t="s">
        <v>314</v>
      </c>
      <c r="G17" s="249"/>
      <c r="H17" s="95" t="s">
        <v>37</v>
      </c>
      <c r="I17" s="196"/>
      <c r="J17" s="204"/>
      <c r="L17" s="23"/>
    </row>
    <row r="18" spans="3:12" x14ac:dyDescent="0.3">
      <c r="C18" s="241"/>
      <c r="D18" s="242" t="s">
        <v>198</v>
      </c>
      <c r="E18" s="243"/>
      <c r="F18" s="244"/>
      <c r="G18" s="211"/>
      <c r="H18" s="245"/>
      <c r="I18" s="91"/>
      <c r="J18" s="244"/>
      <c r="L18" s="23"/>
    </row>
    <row r="19" spans="3:12" ht="84" x14ac:dyDescent="0.3">
      <c r="C19" s="171">
        <v>4</v>
      </c>
      <c r="D19" s="92"/>
      <c r="E19" s="19" t="s">
        <v>362</v>
      </c>
      <c r="F19" s="30" t="s">
        <v>314</v>
      </c>
      <c r="G19" s="249"/>
      <c r="H19" s="95" t="s">
        <v>37</v>
      </c>
      <c r="I19" s="196"/>
      <c r="J19" s="204"/>
      <c r="L19" s="23"/>
    </row>
    <row r="20" spans="3:12" ht="120" x14ac:dyDescent="0.3">
      <c r="C20" s="171">
        <v>5</v>
      </c>
      <c r="D20" s="92"/>
      <c r="E20" s="15" t="s">
        <v>267</v>
      </c>
      <c r="F20" s="30" t="s">
        <v>90</v>
      </c>
      <c r="G20" s="248"/>
      <c r="H20" s="94" t="s">
        <v>36</v>
      </c>
      <c r="I20" s="196"/>
      <c r="J20" s="35"/>
      <c r="L20" s="23"/>
    </row>
    <row r="21" spans="3:12" x14ac:dyDescent="0.3">
      <c r="C21" s="256"/>
      <c r="D21" s="257" t="s">
        <v>199</v>
      </c>
      <c r="E21" s="258"/>
      <c r="F21" s="258"/>
      <c r="G21" s="259"/>
      <c r="H21" s="260"/>
      <c r="I21" s="254"/>
      <c r="J21" s="258"/>
      <c r="L21" s="23"/>
    </row>
    <row r="22" spans="3:12" ht="145.80000000000001" x14ac:dyDescent="0.3">
      <c r="C22" s="179">
        <v>6</v>
      </c>
      <c r="D22" s="96"/>
      <c r="E22" s="20" t="s">
        <v>302</v>
      </c>
      <c r="F22" s="30" t="s">
        <v>91</v>
      </c>
      <c r="G22" s="248"/>
      <c r="H22" s="97" t="s">
        <v>33</v>
      </c>
      <c r="I22" s="198"/>
      <c r="J22" s="20"/>
      <c r="L22" s="23"/>
    </row>
    <row r="23" spans="3:12" ht="108" x14ac:dyDescent="0.3">
      <c r="C23" s="179">
        <v>7</v>
      </c>
      <c r="D23" s="96"/>
      <c r="E23" s="20" t="s">
        <v>303</v>
      </c>
      <c r="F23" s="30" t="s">
        <v>92</v>
      </c>
      <c r="G23" s="248"/>
      <c r="H23" s="97" t="s">
        <v>31</v>
      </c>
      <c r="I23" s="198"/>
      <c r="J23" s="20"/>
      <c r="L23" s="23"/>
    </row>
    <row r="24" spans="3:12" x14ac:dyDescent="0.3">
      <c r="C24" s="250"/>
      <c r="D24" s="251" t="s">
        <v>200</v>
      </c>
      <c r="E24" s="252"/>
      <c r="F24" s="253"/>
      <c r="G24" s="212"/>
      <c r="H24" s="255"/>
      <c r="I24" s="91"/>
      <c r="J24" s="253"/>
      <c r="L24" s="23"/>
    </row>
    <row r="25" spans="3:12" ht="48" x14ac:dyDescent="0.3">
      <c r="C25" s="171">
        <v>8</v>
      </c>
      <c r="D25" s="92"/>
      <c r="E25" s="19" t="s">
        <v>349</v>
      </c>
      <c r="F25" s="30" t="s">
        <v>351</v>
      </c>
      <c r="G25" s="249"/>
      <c r="H25" s="95" t="s">
        <v>37</v>
      </c>
      <c r="I25" s="196"/>
      <c r="J25" s="204"/>
      <c r="L25" s="23"/>
    </row>
    <row r="26" spans="3:12" ht="60" x14ac:dyDescent="0.3">
      <c r="C26" s="171">
        <v>9</v>
      </c>
      <c r="D26" s="92"/>
      <c r="E26" s="19" t="s">
        <v>350</v>
      </c>
      <c r="F26" s="30" t="s">
        <v>354</v>
      </c>
      <c r="G26" s="249"/>
      <c r="H26" s="95" t="s">
        <v>37</v>
      </c>
      <c r="I26" s="196"/>
      <c r="J26" s="204"/>
      <c r="L26" s="23"/>
    </row>
    <row r="27" spans="3:12" ht="180" x14ac:dyDescent="0.3">
      <c r="C27" s="111">
        <v>10</v>
      </c>
      <c r="D27" s="100"/>
      <c r="E27" s="15" t="s">
        <v>347</v>
      </c>
      <c r="F27" s="29" t="s">
        <v>348</v>
      </c>
      <c r="G27" s="248"/>
      <c r="H27" s="95" t="s">
        <v>32</v>
      </c>
      <c r="I27" s="196"/>
      <c r="J27" s="204"/>
      <c r="L27" s="23"/>
    </row>
    <row r="28" spans="3:12" x14ac:dyDescent="0.3">
      <c r="C28" s="250"/>
      <c r="D28" s="251" t="s">
        <v>201</v>
      </c>
      <c r="E28" s="252"/>
      <c r="F28" s="253"/>
      <c r="G28" s="212"/>
      <c r="H28" s="255"/>
      <c r="I28" s="91"/>
      <c r="J28" s="253"/>
      <c r="L28" s="23"/>
    </row>
    <row r="29" spans="3:12" ht="204" x14ac:dyDescent="0.3">
      <c r="C29" s="111">
        <v>11</v>
      </c>
      <c r="D29" s="100"/>
      <c r="E29" s="15" t="s">
        <v>295</v>
      </c>
      <c r="F29" s="31" t="s">
        <v>89</v>
      </c>
      <c r="G29" s="248"/>
      <c r="H29" s="95" t="s">
        <v>35</v>
      </c>
      <c r="I29" s="196"/>
      <c r="J29" s="204"/>
      <c r="L29" s="23"/>
    </row>
    <row r="30" spans="3:12" ht="72" x14ac:dyDescent="0.3">
      <c r="C30" s="111">
        <v>12</v>
      </c>
      <c r="D30" s="100"/>
      <c r="E30" s="15" t="s">
        <v>296</v>
      </c>
      <c r="F30" s="30" t="s">
        <v>92</v>
      </c>
      <c r="G30" s="248"/>
      <c r="H30" s="95" t="s">
        <v>31</v>
      </c>
      <c r="I30" s="196"/>
      <c r="J30" s="204"/>
      <c r="L30" s="23"/>
    </row>
    <row r="31" spans="3:12" x14ac:dyDescent="0.3">
      <c r="C31" s="250"/>
      <c r="D31" s="251" t="s">
        <v>202</v>
      </c>
      <c r="E31" s="252"/>
      <c r="F31" s="253"/>
      <c r="G31" s="212"/>
      <c r="H31" s="255"/>
      <c r="I31" s="91"/>
      <c r="J31" s="253"/>
      <c r="L31" s="23"/>
    </row>
    <row r="32" spans="3:12" ht="204" x14ac:dyDescent="0.3">
      <c r="C32" s="111">
        <v>13</v>
      </c>
      <c r="D32" s="100"/>
      <c r="E32" s="15" t="s">
        <v>297</v>
      </c>
      <c r="F32" s="31" t="s">
        <v>191</v>
      </c>
      <c r="G32" s="248"/>
      <c r="H32" s="95" t="s">
        <v>192</v>
      </c>
      <c r="I32" s="196"/>
      <c r="J32" s="204"/>
      <c r="L32" s="23"/>
    </row>
    <row r="33" spans="3:12" ht="72" x14ac:dyDescent="0.3">
      <c r="C33" s="111">
        <v>14</v>
      </c>
      <c r="D33" s="100"/>
      <c r="E33" s="15" t="s">
        <v>304</v>
      </c>
      <c r="F33" s="31" t="s">
        <v>191</v>
      </c>
      <c r="G33" s="248"/>
      <c r="H33" s="95" t="s">
        <v>31</v>
      </c>
      <c r="I33" s="196"/>
      <c r="J33" s="204"/>
      <c r="L33" s="23"/>
    </row>
    <row r="34" spans="3:12" ht="156" x14ac:dyDescent="0.3">
      <c r="C34" s="111">
        <v>15</v>
      </c>
      <c r="D34" s="100"/>
      <c r="E34" s="15" t="s">
        <v>298</v>
      </c>
      <c r="F34" s="31" t="s">
        <v>319</v>
      </c>
      <c r="G34" s="248"/>
      <c r="H34" s="95" t="s">
        <v>34</v>
      </c>
      <c r="I34" s="196"/>
      <c r="J34" s="204"/>
      <c r="L34" s="23"/>
    </row>
    <row r="35" spans="3:12" x14ac:dyDescent="0.3">
      <c r="C35" s="250"/>
      <c r="D35" s="251" t="s">
        <v>203</v>
      </c>
      <c r="E35" s="252"/>
      <c r="F35" s="253"/>
      <c r="G35" s="212"/>
      <c r="H35" s="255"/>
      <c r="I35" s="91"/>
      <c r="J35" s="253"/>
      <c r="L35" s="23"/>
    </row>
    <row r="36" spans="3:12" ht="132" x14ac:dyDescent="0.3">
      <c r="C36" s="111">
        <v>16</v>
      </c>
      <c r="D36" s="100"/>
      <c r="E36" s="15" t="s">
        <v>193</v>
      </c>
      <c r="F36" s="31" t="s">
        <v>331</v>
      </c>
      <c r="G36" s="249"/>
      <c r="H36" s="95" t="s">
        <v>37</v>
      </c>
      <c r="I36" s="196"/>
      <c r="J36" s="204"/>
      <c r="L36" s="23"/>
    </row>
    <row r="37" spans="3:12" ht="156" x14ac:dyDescent="0.3">
      <c r="C37" s="111">
        <v>17</v>
      </c>
      <c r="D37" s="100"/>
      <c r="E37" s="15" t="s">
        <v>300</v>
      </c>
      <c r="F37" s="37" t="s">
        <v>128</v>
      </c>
      <c r="G37" s="249"/>
      <c r="H37" s="95" t="s">
        <v>37</v>
      </c>
      <c r="I37" s="196"/>
      <c r="J37" s="204"/>
      <c r="L37" s="23"/>
    </row>
    <row r="38" spans="3:12" x14ac:dyDescent="0.3">
      <c r="C38" s="250"/>
      <c r="D38" s="251" t="s">
        <v>204</v>
      </c>
      <c r="E38" s="252"/>
      <c r="F38" s="253"/>
      <c r="G38" s="212"/>
      <c r="H38" s="255"/>
      <c r="I38" s="91"/>
      <c r="J38" s="253"/>
      <c r="L38" s="23"/>
    </row>
    <row r="39" spans="3:12" ht="192" x14ac:dyDescent="0.3">
      <c r="C39" s="111">
        <v>18</v>
      </c>
      <c r="D39" s="100"/>
      <c r="E39" s="15" t="s">
        <v>301</v>
      </c>
      <c r="F39" s="37" t="s">
        <v>129</v>
      </c>
      <c r="G39" s="249"/>
      <c r="H39" s="95" t="s">
        <v>37</v>
      </c>
      <c r="I39" s="196"/>
      <c r="J39" s="204"/>
      <c r="L39" s="23"/>
    </row>
    <row r="40" spans="3:12" ht="48" x14ac:dyDescent="0.3">
      <c r="C40" s="111">
        <v>19</v>
      </c>
      <c r="D40" s="100"/>
      <c r="E40" s="15" t="s">
        <v>194</v>
      </c>
      <c r="F40" s="31" t="s">
        <v>170</v>
      </c>
      <c r="G40" s="249"/>
      <c r="H40" s="95" t="s">
        <v>37</v>
      </c>
      <c r="I40" s="196"/>
      <c r="J40" s="204"/>
      <c r="L40" s="23"/>
    </row>
    <row r="41" spans="3:12" x14ac:dyDescent="0.3">
      <c r="C41" s="250"/>
      <c r="D41" s="251" t="s">
        <v>359</v>
      </c>
      <c r="E41" s="252"/>
      <c r="F41" s="253"/>
      <c r="G41" s="212"/>
      <c r="H41" s="255"/>
      <c r="I41" s="91"/>
      <c r="J41" s="253"/>
      <c r="L41" s="23"/>
    </row>
    <row r="42" spans="3:12" ht="48" x14ac:dyDescent="0.3">
      <c r="C42" s="111"/>
      <c r="D42" s="100"/>
      <c r="E42" s="15" t="s">
        <v>361</v>
      </c>
      <c r="F42" s="31" t="s">
        <v>363</v>
      </c>
      <c r="G42" s="299"/>
      <c r="H42" s="296" t="s">
        <v>321</v>
      </c>
      <c r="I42" s="297"/>
      <c r="J42" s="298"/>
      <c r="L42" s="23"/>
    </row>
    <row r="43" spans="3:12" x14ac:dyDescent="0.3">
      <c r="C43" s="171"/>
      <c r="D43" s="92" t="s">
        <v>94</v>
      </c>
      <c r="E43" s="19"/>
      <c r="F43" s="29"/>
      <c r="G43" s="87"/>
      <c r="H43" s="94"/>
      <c r="I43" s="196"/>
      <c r="J43" s="35"/>
      <c r="L43" s="23"/>
    </row>
    <row r="44" spans="3:12" x14ac:dyDescent="0.3">
      <c r="L44" s="23"/>
    </row>
    <row r="45" spans="3:12" x14ac:dyDescent="0.3">
      <c r="L45" s="23"/>
    </row>
    <row r="46" spans="3:12" x14ac:dyDescent="0.3">
      <c r="L46" s="23"/>
    </row>
    <row r="47" spans="3:12" x14ac:dyDescent="0.3">
      <c r="L47" s="23"/>
    </row>
  </sheetData>
  <mergeCells count="1">
    <mergeCell ref="C3:F5"/>
  </mergeCells>
  <phoneticPr fontId="8" type="noConversion"/>
  <conditionalFormatting sqref="C8:J43">
    <cfRule type="expression" dxfId="96" priority="61">
      <formula>NOT(ISBLANK($E8))</formula>
    </cfRule>
  </conditionalFormatting>
  <dataValidations count="10">
    <dataValidation type="decimal" operator="greaterThanOrEqual" allowBlank="1" showErrorMessage="1" prompt="Ener the total capacity of the fuel containers - volume is part of cleanup calculations" sqref="G34 G42" xr:uid="{6EF9A986-68C5-42CA-8EF6-619804F8F228}">
      <formula1>0</formula1>
    </dataValidation>
    <dataValidation type="decimal" operator="greaterThanOrEqual" showErrorMessage="1" prompt="Enter mobilization distance of site from Yellowknife" sqref="G14" xr:uid="{413543BD-B6D8-42EB-AACF-F3B541F1B58E}">
      <formula1>0</formula1>
    </dataValidation>
    <dataValidation type="decimal" operator="greaterThanOrEqual" allowBlank="1" showErrorMessage="1" prompt="Enter total area 'to be used' as described in Application Form" sqref="G20" xr:uid="{55D56FAB-1EB2-46D8-B113-A0E3D65970B7}">
      <formula1>0</formula1>
    </dataValidation>
    <dataValidation type="decimal" operator="greaterThanOrEqual" allowBlank="1" showErrorMessage="1" prompt="Enter total area of camp buildings (sum individual building areas)" sqref="G22" xr:uid="{B6442BB9-E927-4F12-B1E9-9B8C907D6713}">
      <formula1>0</formula1>
    </dataValidation>
    <dataValidation type="decimal" operator="greaterThanOrEqual" allowBlank="1" showErrorMessage="1" prompt="Enter the total weight of camp buildings that will be left on-site - request from operator, if required, or check operator's mobilization plan" sqref="G23" xr:uid="{E7B577C8-6420-4E93-81C1-09EC6C5B99D7}">
      <formula1>0</formula1>
    </dataValidation>
    <dataValidation type="decimal" operator="greaterThanOrEqual" allowBlank="1" showErrorMessage="1" prompt="Enter the total number of heavy equipment that will be left on-site for land-use operations" sqref="G29" xr:uid="{D4B4D244-7825-4855-873F-1C15D250FF60}">
      <formula1>0</formula1>
    </dataValidation>
    <dataValidation type="decimal" operator="greaterThanOrEqual" allowBlank="1" showErrorMessage="1" prompt="Enter the total tonnage of work equipment that will be left on site - sum the individual equipment weights, which are required to be listed as part of the 2019 Guide" sqref="G30" xr:uid="{35B2AAA3-3EA9-4B4A-80C3-5CA265317329}">
      <formula1>0</formula1>
    </dataValidation>
    <dataValidation type="decimal" operator="greaterThanOrEqual" allowBlank="1" showErrorMessage="1" prompt="Enter the total number of fuel drums - smaller containers can be omitted" sqref="G32" xr:uid="{D5F1FC97-73A2-480D-8326-C0A141C31ABF}">
      <formula1>0</formula1>
    </dataValidation>
    <dataValidation type="decimal" operator="greaterThanOrEqual" allowBlank="1" showErrorMessage="1" prompt="Enter the total weight of fuel tanks - to be used for disposal costs" sqref="G33" xr:uid="{113AAB2D-BD9A-4E51-A0D3-3A90FFDF1E5F}">
      <formula1>0</formula1>
    </dataValidation>
    <dataValidation type="decimal" operator="greaterThanOrEqual" allowBlank="1" showErrorMessage="1" prompt="Enter total length of required winter road construction for mobilization" sqref="G27" xr:uid="{4EC159BE-11C4-4450-9016-935424BD8757}">
      <formula1>0</formula1>
    </dataValidation>
  </dataValidations>
  <pageMargins left="0.31496062992125984" right="0.31496062992125984" top="0.74803149606299213" bottom="0.55118110236220474" header="0.31496062992125984" footer="0.31496062992125984"/>
  <pageSetup scale="76" fitToHeight="12" orientation="portrait" horizontalDpi="1200" verticalDpi="1200" r:id="rId1"/>
  <headerFooter>
    <oddHeader>&amp;R&amp;K00-026Mackenzie Valley Land-Use Security Estimate Tool</oddHeader>
    <oddFooter>&amp;C&amp;K00-033BCL/ DXB&amp;R&amp;K00-033Page &amp;P of &amp;N</oddFooter>
  </headerFooter>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ErrorMessage="1" prompt="Enter &quot;yes&quot; or &quot;no&quot;" xr:uid="{25B93B5D-F4AE-4E87-A98A-CFF616324A4F}">
          <x14:formula1>
            <xm:f>'SYS_ Gen'!$G$6:$G$7</xm:f>
          </x14:formula1>
          <xm:sqref>G15 G17 G19 G36:G37 G25:G26 G39:G40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AEB49-1B5B-4C41-AA57-D6F2918FCCC7}">
  <sheetPr codeName="Sheet3">
    <tabColor rgb="FFE7FFFF"/>
    <pageSetUpPr fitToPage="1"/>
  </sheetPr>
  <dimension ref="A1:L52"/>
  <sheetViews>
    <sheetView zoomScaleNormal="100" workbookViewId="0">
      <pane xSplit="4" ySplit="6" topLeftCell="E7" activePane="bottomRight" state="frozen"/>
      <selection activeCell="H5" sqref="H5"/>
      <selection pane="topRight" activeCell="H5" sqref="H5"/>
      <selection pane="bottomLeft" activeCell="H5" sqref="H5"/>
      <selection pane="bottomRight" activeCell="A6" sqref="A6"/>
    </sheetView>
  </sheetViews>
  <sheetFormatPr defaultColWidth="8.77734375" defaultRowHeight="18" x14ac:dyDescent="0.3"/>
  <cols>
    <col min="1" max="1" width="1.6640625" style="8" customWidth="1"/>
    <col min="2" max="2" width="3.6640625" style="32" customWidth="1"/>
    <col min="3" max="3" width="10.6640625" style="1" customWidth="1"/>
    <col min="4" max="4" width="36.6640625" style="3" customWidth="1"/>
    <col min="5" max="5" width="24.6640625" style="3" customWidth="1"/>
    <col min="6" max="6" width="14.6640625" style="6" customWidth="1"/>
    <col min="7" max="7" width="12.6640625" style="6" customWidth="1"/>
    <col min="8" max="8" width="14.6640625" style="6" customWidth="1"/>
    <col min="9" max="9" width="1.6640625" style="6" customWidth="1"/>
    <col min="10" max="10" width="24.6640625" style="6" customWidth="1"/>
    <col min="11" max="11" width="14.6640625" style="7" customWidth="1"/>
    <col min="12" max="12" width="14.6640625" style="1" customWidth="1"/>
    <col min="13" max="13" width="1.6640625" style="1" customWidth="1"/>
    <col min="14" max="16384" width="8.77734375" style="1"/>
  </cols>
  <sheetData>
    <row r="1" spans="1:12" x14ac:dyDescent="0.3">
      <c r="A1" s="295" t="str">
        <f>'Costing Questions'!A1</f>
        <v>Security Estimate Tool - DRAFT 3 - Blank</v>
      </c>
    </row>
    <row r="2" spans="1:12" ht="18.600000000000001" thickBot="1" x14ac:dyDescent="0.35"/>
    <row r="3" spans="1:12" ht="27.6" customHeight="1" x14ac:dyDescent="0.3">
      <c r="C3" s="309" t="s">
        <v>330</v>
      </c>
      <c r="D3" s="310"/>
      <c r="E3" s="311"/>
      <c r="F3" s="194" t="s">
        <v>87</v>
      </c>
      <c r="H3" s="285"/>
    </row>
    <row r="4" spans="1:12" ht="45.6" customHeight="1" thickBot="1" x14ac:dyDescent="0.35">
      <c r="C4" s="312"/>
      <c r="D4" s="313"/>
      <c r="E4" s="314"/>
      <c r="F4" s="195">
        <f>'Security Estimate Calcs'!$F$3</f>
        <v>0</v>
      </c>
      <c r="H4" s="285"/>
    </row>
    <row r="6" spans="1:12" s="13" customFormat="1" ht="36" x14ac:dyDescent="0.3">
      <c r="A6" s="11"/>
      <c r="B6" s="33"/>
      <c r="C6" s="209" t="s">
        <v>207</v>
      </c>
      <c r="D6" s="209" t="s">
        <v>2</v>
      </c>
      <c r="E6" s="209" t="s">
        <v>72</v>
      </c>
      <c r="F6" s="210" t="s">
        <v>125</v>
      </c>
      <c r="G6" s="210" t="s">
        <v>3</v>
      </c>
      <c r="H6" s="210" t="s">
        <v>153</v>
      </c>
      <c r="I6" s="89" t="s">
        <v>0</v>
      </c>
      <c r="J6" s="210" t="s">
        <v>308</v>
      </c>
      <c r="K6" s="210" t="s">
        <v>149</v>
      </c>
      <c r="L6" s="210" t="s">
        <v>152</v>
      </c>
    </row>
    <row r="7" spans="1:12" x14ac:dyDescent="0.3">
      <c r="C7" s="93" t="s">
        <v>355</v>
      </c>
      <c r="D7" s="19"/>
      <c r="E7" s="21"/>
      <c r="F7" s="52"/>
      <c r="G7" s="94"/>
      <c r="H7" s="173"/>
      <c r="I7" s="91"/>
      <c r="J7" s="29"/>
      <c r="K7" s="29"/>
      <c r="L7" s="29"/>
    </row>
    <row r="8" spans="1:12" ht="96" x14ac:dyDescent="0.3">
      <c r="C8" s="93" t="s">
        <v>52</v>
      </c>
      <c r="D8" s="19" t="s">
        <v>356</v>
      </c>
      <c r="E8" s="21"/>
      <c r="F8" s="248"/>
      <c r="G8" s="94" t="s">
        <v>206</v>
      </c>
      <c r="H8" s="174"/>
      <c r="I8" s="91"/>
      <c r="J8" s="29"/>
      <c r="K8" s="29"/>
      <c r="L8" s="29"/>
    </row>
    <row r="9" spans="1:12" x14ac:dyDescent="0.3">
      <c r="C9" s="93" t="s">
        <v>53</v>
      </c>
      <c r="D9" s="19" t="s">
        <v>310</v>
      </c>
      <c r="E9" s="21"/>
      <c r="F9" s="52"/>
      <c r="G9" s="94"/>
      <c r="H9" s="230">
        <f>F8</f>
        <v>0</v>
      </c>
      <c r="I9" s="91"/>
      <c r="J9" s="29"/>
      <c r="K9" s="29"/>
      <c r="L9" s="29"/>
    </row>
    <row r="10" spans="1:12" x14ac:dyDescent="0.3">
      <c r="C10" s="93" t="s">
        <v>344</v>
      </c>
      <c r="D10" s="19"/>
      <c r="E10" s="21"/>
      <c r="F10" s="52"/>
      <c r="G10" s="94"/>
      <c r="H10" s="173"/>
      <c r="I10" s="91"/>
      <c r="J10" s="29"/>
      <c r="K10" s="29"/>
      <c r="L10" s="29"/>
    </row>
    <row r="11" spans="1:12" ht="48" x14ac:dyDescent="0.3">
      <c r="C11" s="93" t="s">
        <v>52</v>
      </c>
      <c r="D11" s="19" t="s">
        <v>147</v>
      </c>
      <c r="E11" s="21"/>
      <c r="F11" s="52"/>
      <c r="G11" s="94"/>
      <c r="H11" s="173"/>
      <c r="I11" s="91"/>
      <c r="J11" s="29"/>
      <c r="K11" s="29"/>
      <c r="L11" s="29"/>
    </row>
    <row r="12" spans="1:12" ht="36" x14ac:dyDescent="0.3">
      <c r="C12" s="93"/>
      <c r="D12" s="19" t="s">
        <v>0</v>
      </c>
      <c r="E12" s="21" t="s">
        <v>148</v>
      </c>
      <c r="F12" s="248"/>
      <c r="G12" s="94" t="s">
        <v>150</v>
      </c>
      <c r="H12" s="173"/>
      <c r="I12" s="91"/>
      <c r="J12" s="287"/>
      <c r="K12" s="273">
        <f>'Unit Rate Calcs'!L$67</f>
        <v>0</v>
      </c>
      <c r="L12" s="29" t="s">
        <v>158</v>
      </c>
    </row>
    <row r="13" spans="1:12" ht="48" x14ac:dyDescent="0.3">
      <c r="C13" s="93"/>
      <c r="D13" s="19" t="s">
        <v>0</v>
      </c>
      <c r="E13" s="21" t="s">
        <v>173</v>
      </c>
      <c r="F13" s="248"/>
      <c r="G13" s="94" t="s">
        <v>151</v>
      </c>
      <c r="H13" s="173"/>
      <c r="I13" s="91"/>
      <c r="J13" s="29"/>
      <c r="K13" s="29" t="s">
        <v>154</v>
      </c>
      <c r="L13" s="29"/>
    </row>
    <row r="14" spans="1:12" x14ac:dyDescent="0.3">
      <c r="C14" s="93"/>
      <c r="D14" s="19" t="s">
        <v>0</v>
      </c>
      <c r="E14" s="21" t="s">
        <v>174</v>
      </c>
      <c r="F14" s="248"/>
      <c r="G14" s="94" t="s">
        <v>151</v>
      </c>
      <c r="H14" s="173"/>
      <c r="I14" s="91"/>
      <c r="J14" s="29"/>
      <c r="K14" s="29"/>
      <c r="L14" s="29"/>
    </row>
    <row r="15" spans="1:12" x14ac:dyDescent="0.3">
      <c r="C15" s="93"/>
      <c r="D15" s="19" t="s">
        <v>0</v>
      </c>
      <c r="E15" s="21" t="s">
        <v>175</v>
      </c>
      <c r="F15" s="248"/>
      <c r="G15" s="94" t="s">
        <v>151</v>
      </c>
      <c r="H15" s="173"/>
      <c r="I15" s="91"/>
      <c r="J15" s="29"/>
      <c r="K15" s="29"/>
      <c r="L15" s="29"/>
    </row>
    <row r="16" spans="1:12" x14ac:dyDescent="0.3">
      <c r="C16" s="93"/>
      <c r="D16" s="19" t="s">
        <v>0</v>
      </c>
      <c r="E16" s="21" t="s">
        <v>176</v>
      </c>
      <c r="F16" s="248"/>
      <c r="G16" s="94" t="s">
        <v>151</v>
      </c>
      <c r="H16" s="173"/>
      <c r="I16" s="91"/>
      <c r="J16" s="29"/>
      <c r="K16" s="29"/>
      <c r="L16" s="29"/>
    </row>
    <row r="17" spans="3:12" ht="24" x14ac:dyDescent="0.3">
      <c r="C17" s="93"/>
      <c r="D17" s="19" t="s">
        <v>0</v>
      </c>
      <c r="E17" s="21" t="s">
        <v>156</v>
      </c>
      <c r="F17" s="248"/>
      <c r="G17" s="94" t="s">
        <v>155</v>
      </c>
      <c r="H17" s="173"/>
      <c r="I17" s="91"/>
      <c r="J17" s="29"/>
      <c r="K17" s="29"/>
      <c r="L17" s="29"/>
    </row>
    <row r="18" spans="3:12" x14ac:dyDescent="0.3">
      <c r="C18" s="93" t="s">
        <v>53</v>
      </c>
      <c r="D18" s="19" t="s">
        <v>316</v>
      </c>
      <c r="E18" s="21"/>
      <c r="F18" s="52"/>
      <c r="G18" s="94"/>
      <c r="H18" s="230">
        <f>F12*(K12+SUM(F13:F16))*F17</f>
        <v>0</v>
      </c>
      <c r="I18" s="91"/>
      <c r="J18" s="29"/>
      <c r="K18" s="29"/>
      <c r="L18" s="29"/>
    </row>
    <row r="19" spans="3:12" x14ac:dyDescent="0.3">
      <c r="C19" s="93" t="s">
        <v>345</v>
      </c>
      <c r="D19" s="19"/>
      <c r="E19" s="30"/>
      <c r="F19" s="52"/>
      <c r="G19" s="94"/>
      <c r="H19" s="173"/>
      <c r="I19" s="91"/>
      <c r="J19" s="30"/>
      <c r="K19" s="30"/>
      <c r="L19" s="172"/>
    </row>
    <row r="20" spans="3:12" ht="48" x14ac:dyDescent="0.3">
      <c r="C20" s="93" t="s">
        <v>52</v>
      </c>
      <c r="D20" s="30" t="s">
        <v>147</v>
      </c>
      <c r="E20" s="30"/>
      <c r="F20" s="52"/>
      <c r="G20" s="94"/>
      <c r="H20" s="173"/>
      <c r="I20" s="91"/>
      <c r="J20" s="30"/>
      <c r="K20" s="30"/>
      <c r="L20" s="172"/>
    </row>
    <row r="21" spans="3:12" ht="36" x14ac:dyDescent="0.3">
      <c r="C21" s="93"/>
      <c r="D21" s="19" t="s">
        <v>0</v>
      </c>
      <c r="E21" s="21" t="s">
        <v>148</v>
      </c>
      <c r="F21" s="248"/>
      <c r="G21" s="94" t="s">
        <v>150</v>
      </c>
      <c r="H21" s="173"/>
      <c r="I21" s="91"/>
      <c r="J21" s="287"/>
      <c r="K21" s="273">
        <f>'Unit Rate Calcs'!L$67</f>
        <v>0</v>
      </c>
      <c r="L21" s="29" t="s">
        <v>158</v>
      </c>
    </row>
    <row r="22" spans="3:12" ht="60" x14ac:dyDescent="0.3">
      <c r="C22" s="93"/>
      <c r="D22" s="19" t="s">
        <v>0</v>
      </c>
      <c r="E22" s="21" t="s">
        <v>173</v>
      </c>
      <c r="F22" s="248"/>
      <c r="G22" s="94" t="s">
        <v>151</v>
      </c>
      <c r="H22" s="173"/>
      <c r="I22" s="91"/>
      <c r="J22" s="29"/>
      <c r="K22" s="29" t="s">
        <v>157</v>
      </c>
      <c r="L22" s="29"/>
    </row>
    <row r="23" spans="3:12" x14ac:dyDescent="0.3">
      <c r="C23" s="93"/>
      <c r="D23" s="19" t="s">
        <v>0</v>
      </c>
      <c r="E23" s="21" t="s">
        <v>174</v>
      </c>
      <c r="F23" s="248"/>
      <c r="G23" s="94" t="s">
        <v>151</v>
      </c>
      <c r="H23" s="173"/>
      <c r="I23" s="91"/>
      <c r="J23" s="29"/>
      <c r="K23" s="29"/>
      <c r="L23" s="29"/>
    </row>
    <row r="24" spans="3:12" x14ac:dyDescent="0.3">
      <c r="C24" s="93"/>
      <c r="D24" s="19" t="s">
        <v>0</v>
      </c>
      <c r="E24" s="21" t="s">
        <v>175</v>
      </c>
      <c r="F24" s="248"/>
      <c r="G24" s="94" t="s">
        <v>151</v>
      </c>
      <c r="H24" s="173"/>
      <c r="I24" s="91"/>
      <c r="J24" s="29"/>
      <c r="K24" s="29"/>
      <c r="L24" s="29"/>
    </row>
    <row r="25" spans="3:12" x14ac:dyDescent="0.3">
      <c r="C25" s="93"/>
      <c r="D25" s="19" t="s">
        <v>0</v>
      </c>
      <c r="E25" s="21" t="s">
        <v>176</v>
      </c>
      <c r="F25" s="248"/>
      <c r="G25" s="94" t="s">
        <v>151</v>
      </c>
      <c r="H25" s="173"/>
      <c r="I25" s="91"/>
      <c r="J25" s="29"/>
      <c r="K25" s="29"/>
      <c r="L25" s="29"/>
    </row>
    <row r="26" spans="3:12" ht="24" x14ac:dyDescent="0.3">
      <c r="C26" s="93"/>
      <c r="D26" s="19" t="s">
        <v>0</v>
      </c>
      <c r="E26" s="21" t="s">
        <v>156</v>
      </c>
      <c r="F26" s="248"/>
      <c r="G26" s="94" t="s">
        <v>155</v>
      </c>
      <c r="H26" s="173"/>
      <c r="I26" s="91"/>
      <c r="J26" s="29"/>
      <c r="K26" s="29"/>
      <c r="L26" s="29"/>
    </row>
    <row r="27" spans="3:12" x14ac:dyDescent="0.3">
      <c r="C27" s="93" t="s">
        <v>53</v>
      </c>
      <c r="D27" s="19" t="s">
        <v>316</v>
      </c>
      <c r="E27" s="30"/>
      <c r="F27" s="52"/>
      <c r="G27" s="94"/>
      <c r="H27" s="230">
        <f>F21*(K21+SUM(F22:F25))*F26</f>
        <v>0</v>
      </c>
      <c r="I27" s="91"/>
      <c r="J27" s="30"/>
      <c r="K27" s="30"/>
      <c r="L27" s="172"/>
    </row>
    <row r="28" spans="3:12" x14ac:dyDescent="0.3">
      <c r="C28" s="93" t="s">
        <v>18</v>
      </c>
      <c r="D28" s="19"/>
      <c r="E28" s="30"/>
      <c r="F28" s="141"/>
      <c r="G28" s="95"/>
      <c r="H28" s="174"/>
      <c r="I28" s="91"/>
      <c r="J28" s="30"/>
      <c r="K28" s="30"/>
      <c r="L28" s="172"/>
    </row>
    <row r="29" spans="3:12" ht="48" x14ac:dyDescent="0.3">
      <c r="C29" s="93" t="s">
        <v>52</v>
      </c>
      <c r="D29" s="30" t="s">
        <v>147</v>
      </c>
      <c r="E29" s="30"/>
      <c r="F29" s="261"/>
      <c r="G29" s="95" t="s">
        <v>317</v>
      </c>
      <c r="H29" s="174"/>
      <c r="I29" s="91"/>
      <c r="J29" s="29"/>
      <c r="K29" s="29" t="s">
        <v>188</v>
      </c>
      <c r="L29" s="172"/>
    </row>
    <row r="30" spans="3:12" x14ac:dyDescent="0.3">
      <c r="C30" s="93" t="s">
        <v>53</v>
      </c>
      <c r="D30" s="19" t="s">
        <v>316</v>
      </c>
      <c r="E30" s="30"/>
      <c r="F30" s="52"/>
      <c r="G30" s="95"/>
      <c r="H30" s="234">
        <f>SUM(F29:F30)</f>
        <v>0</v>
      </c>
      <c r="I30" s="91"/>
      <c r="J30" s="30"/>
      <c r="K30" s="30"/>
      <c r="L30" s="172"/>
    </row>
    <row r="31" spans="3:12" x14ac:dyDescent="0.3">
      <c r="C31" s="101" t="s">
        <v>19</v>
      </c>
      <c r="D31" s="15"/>
      <c r="E31" s="15"/>
      <c r="F31" s="57"/>
      <c r="G31" s="95"/>
      <c r="H31" s="174"/>
      <c r="I31" s="91"/>
      <c r="J31" s="31"/>
      <c r="K31" s="31"/>
      <c r="L31" s="31"/>
    </row>
    <row r="32" spans="3:12" ht="48" x14ac:dyDescent="0.3">
      <c r="C32" s="101" t="s">
        <v>52</v>
      </c>
      <c r="D32" s="15" t="s">
        <v>147</v>
      </c>
      <c r="E32" s="15"/>
      <c r="F32" s="261"/>
      <c r="G32" s="95" t="s">
        <v>317</v>
      </c>
      <c r="H32" s="174"/>
      <c r="I32" s="91"/>
      <c r="J32" s="29"/>
      <c r="K32" s="29" t="s">
        <v>188</v>
      </c>
      <c r="L32" s="31"/>
    </row>
    <row r="33" spans="3:12" x14ac:dyDescent="0.3">
      <c r="C33" s="93" t="s">
        <v>53</v>
      </c>
      <c r="D33" s="19" t="s">
        <v>316</v>
      </c>
      <c r="E33" s="15"/>
      <c r="F33" s="52"/>
      <c r="G33" s="95"/>
      <c r="H33" s="234">
        <f>SUM(F32:F33)</f>
        <v>0</v>
      </c>
      <c r="I33" s="91"/>
      <c r="J33" s="31"/>
      <c r="K33" s="31"/>
      <c r="L33" s="31"/>
    </row>
    <row r="34" spans="3:12" x14ac:dyDescent="0.3">
      <c r="C34" s="101" t="s">
        <v>20</v>
      </c>
      <c r="D34" s="15"/>
      <c r="E34" s="15"/>
      <c r="F34" s="57"/>
      <c r="G34" s="95"/>
      <c r="H34" s="174"/>
      <c r="I34" s="91"/>
      <c r="J34" s="31"/>
      <c r="K34" s="31"/>
      <c r="L34" s="31"/>
    </row>
    <row r="35" spans="3:12" ht="48" x14ac:dyDescent="0.3">
      <c r="C35" s="101" t="s">
        <v>52</v>
      </c>
      <c r="D35" s="15" t="s">
        <v>147</v>
      </c>
      <c r="E35" s="15"/>
      <c r="F35" s="261"/>
      <c r="G35" s="95" t="s">
        <v>317</v>
      </c>
      <c r="H35" s="174"/>
      <c r="I35" s="91"/>
      <c r="J35" s="29"/>
      <c r="K35" s="29" t="s">
        <v>189</v>
      </c>
      <c r="L35" s="31"/>
    </row>
    <row r="36" spans="3:12" x14ac:dyDescent="0.3">
      <c r="C36" s="93" t="s">
        <v>53</v>
      </c>
      <c r="D36" s="19" t="s">
        <v>316</v>
      </c>
      <c r="E36" s="15"/>
      <c r="F36" s="52"/>
      <c r="G36" s="95"/>
      <c r="H36" s="234">
        <f>SUM(F35:F36)</f>
        <v>0</v>
      </c>
      <c r="I36" s="91"/>
      <c r="J36" s="31"/>
      <c r="K36" s="31"/>
      <c r="L36" s="31"/>
    </row>
    <row r="37" spans="3:12" x14ac:dyDescent="0.3">
      <c r="C37" s="93" t="s">
        <v>346</v>
      </c>
      <c r="D37" s="19"/>
      <c r="E37" s="19"/>
      <c r="F37" s="87"/>
      <c r="G37" s="94"/>
      <c r="H37" s="173"/>
      <c r="I37" s="91"/>
      <c r="J37" s="29"/>
      <c r="K37" s="29"/>
      <c r="L37" s="29"/>
    </row>
    <row r="38" spans="3:12" x14ac:dyDescent="0.3">
      <c r="C38" s="93" t="s">
        <v>52</v>
      </c>
      <c r="D38" s="19" t="s">
        <v>318</v>
      </c>
      <c r="E38" s="19"/>
      <c r="F38" s="87"/>
      <c r="G38" s="94"/>
      <c r="H38" s="173"/>
      <c r="I38" s="91"/>
      <c r="J38" s="29"/>
      <c r="K38" s="29"/>
      <c r="L38" s="29"/>
    </row>
    <row r="39" spans="3:12" ht="36" x14ac:dyDescent="0.3">
      <c r="C39" s="101"/>
      <c r="D39" s="15" t="s">
        <v>0</v>
      </c>
      <c r="E39" s="21" t="s">
        <v>148</v>
      </c>
      <c r="F39" s="248"/>
      <c r="G39" s="94" t="s">
        <v>150</v>
      </c>
      <c r="H39" s="173"/>
      <c r="I39" s="91"/>
      <c r="J39" s="287"/>
      <c r="K39" s="273">
        <f>'Unit Rate Calcs'!L$67</f>
        <v>0</v>
      </c>
      <c r="L39" s="29" t="s">
        <v>158</v>
      </c>
    </row>
    <row r="40" spans="3:12" ht="24" x14ac:dyDescent="0.3">
      <c r="C40" s="101"/>
      <c r="D40" s="15" t="s">
        <v>0</v>
      </c>
      <c r="E40" s="21" t="s">
        <v>173</v>
      </c>
      <c r="F40" s="248"/>
      <c r="G40" s="94" t="s">
        <v>151</v>
      </c>
      <c r="H40" s="173"/>
      <c r="I40" s="91"/>
      <c r="J40" s="31"/>
      <c r="K40" s="31"/>
      <c r="L40" s="31"/>
    </row>
    <row r="41" spans="3:12" x14ac:dyDescent="0.3">
      <c r="C41" s="101"/>
      <c r="D41" s="15" t="s">
        <v>0</v>
      </c>
      <c r="E41" s="21" t="s">
        <v>174</v>
      </c>
      <c r="F41" s="248"/>
      <c r="G41" s="94" t="s">
        <v>151</v>
      </c>
      <c r="H41" s="173"/>
      <c r="I41" s="91"/>
      <c r="J41" s="31"/>
      <c r="K41" s="31"/>
      <c r="L41" s="31"/>
    </row>
    <row r="42" spans="3:12" x14ac:dyDescent="0.3">
      <c r="C42" s="93"/>
      <c r="D42" s="19" t="s">
        <v>0</v>
      </c>
      <c r="E42" s="21" t="s">
        <v>175</v>
      </c>
      <c r="F42" s="248"/>
      <c r="G42" s="94" t="s">
        <v>151</v>
      </c>
      <c r="H42" s="173"/>
      <c r="I42" s="91"/>
      <c r="J42" s="29"/>
      <c r="K42" s="29"/>
      <c r="L42" s="29"/>
    </row>
    <row r="43" spans="3:12" x14ac:dyDescent="0.3">
      <c r="C43" s="93"/>
      <c r="D43" s="19" t="s">
        <v>0</v>
      </c>
      <c r="E43" s="21" t="s">
        <v>176</v>
      </c>
      <c r="F43" s="248"/>
      <c r="G43" s="94" t="s">
        <v>151</v>
      </c>
      <c r="H43" s="173"/>
      <c r="I43" s="91"/>
      <c r="J43" s="29"/>
      <c r="K43" s="29"/>
      <c r="L43" s="29"/>
    </row>
    <row r="44" spans="3:12" ht="36" x14ac:dyDescent="0.3">
      <c r="C44" s="93"/>
      <c r="D44" s="19" t="s">
        <v>0</v>
      </c>
      <c r="E44" s="21" t="s">
        <v>172</v>
      </c>
      <c r="F44" s="248"/>
      <c r="G44" s="94" t="s">
        <v>155</v>
      </c>
      <c r="H44" s="173"/>
      <c r="I44" s="91"/>
      <c r="J44" s="29"/>
      <c r="K44" s="29"/>
      <c r="L44" s="29"/>
    </row>
    <row r="45" spans="3:12" x14ac:dyDescent="0.3">
      <c r="C45" s="93" t="s">
        <v>53</v>
      </c>
      <c r="D45" s="19" t="s">
        <v>316</v>
      </c>
      <c r="E45" s="19"/>
      <c r="F45" s="87"/>
      <c r="G45" s="94"/>
      <c r="H45" s="230">
        <f>F39*(K39+SUM(F40:F43))*F44</f>
        <v>0</v>
      </c>
      <c r="I45" s="91"/>
      <c r="J45" s="29"/>
      <c r="K45" s="29"/>
      <c r="L45" s="29"/>
    </row>
    <row r="46" spans="3:12" x14ac:dyDescent="0.3">
      <c r="C46" s="93" t="s">
        <v>335</v>
      </c>
      <c r="D46" s="19"/>
      <c r="E46" s="30"/>
      <c r="F46" s="141"/>
      <c r="G46" s="95"/>
      <c r="H46" s="174"/>
      <c r="I46" s="91"/>
      <c r="J46" s="30"/>
      <c r="K46" s="30"/>
      <c r="L46" s="172"/>
    </row>
    <row r="47" spans="3:12" x14ac:dyDescent="0.3">
      <c r="C47" s="93" t="s">
        <v>52</v>
      </c>
      <c r="D47" s="30" t="s">
        <v>340</v>
      </c>
      <c r="E47" s="30"/>
      <c r="F47" s="261"/>
      <c r="G47" s="95" t="s">
        <v>317</v>
      </c>
      <c r="H47" s="174"/>
      <c r="I47" s="91"/>
      <c r="J47" s="29"/>
      <c r="K47" s="29"/>
      <c r="L47" s="172"/>
    </row>
    <row r="48" spans="3:12" x14ac:dyDescent="0.3">
      <c r="C48" s="93" t="s">
        <v>53</v>
      </c>
      <c r="D48" s="30" t="s">
        <v>341</v>
      </c>
      <c r="E48" s="30"/>
      <c r="F48" s="261"/>
      <c r="G48" s="95" t="s">
        <v>317</v>
      </c>
      <c r="H48" s="174"/>
      <c r="I48" s="91"/>
      <c r="J48" s="29"/>
      <c r="K48" s="29"/>
      <c r="L48" s="172"/>
    </row>
    <row r="49" spans="3:12" x14ac:dyDescent="0.3">
      <c r="C49" s="93" t="s">
        <v>53</v>
      </c>
      <c r="D49" s="30" t="s">
        <v>342</v>
      </c>
      <c r="E49" s="30"/>
      <c r="F49" s="261"/>
      <c r="G49" s="95" t="s">
        <v>317</v>
      </c>
      <c r="H49" s="174"/>
      <c r="I49" s="91"/>
      <c r="J49" s="29"/>
      <c r="K49" s="29"/>
      <c r="L49" s="172"/>
    </row>
    <row r="50" spans="3:12" x14ac:dyDescent="0.3">
      <c r="C50" s="93" t="s">
        <v>336</v>
      </c>
      <c r="D50" s="30" t="s">
        <v>17</v>
      </c>
      <c r="E50" s="30"/>
      <c r="F50" s="261"/>
      <c r="G50" s="95" t="s">
        <v>317</v>
      </c>
      <c r="H50" s="174"/>
      <c r="I50" s="91"/>
      <c r="J50" s="29"/>
      <c r="K50" s="29"/>
      <c r="L50" s="172"/>
    </row>
    <row r="51" spans="3:12" x14ac:dyDescent="0.3">
      <c r="C51" s="93" t="s">
        <v>337</v>
      </c>
      <c r="D51" s="19" t="s">
        <v>316</v>
      </c>
      <c r="E51" s="30"/>
      <c r="F51" s="52"/>
      <c r="G51" s="95"/>
      <c r="H51" s="234">
        <f>SUM(F47:F51)</f>
        <v>0</v>
      </c>
      <c r="I51" s="91"/>
      <c r="J51" s="30"/>
      <c r="K51" s="30"/>
      <c r="L51" s="172"/>
    </row>
    <row r="52" spans="3:12" x14ac:dyDescent="0.3">
      <c r="C52" s="93" t="s">
        <v>94</v>
      </c>
      <c r="D52" s="30"/>
      <c r="E52" s="19"/>
      <c r="F52" s="87"/>
      <c r="G52" s="94"/>
      <c r="H52" s="178"/>
      <c r="I52" s="91"/>
      <c r="J52" s="29"/>
      <c r="K52" s="29"/>
      <c r="L52" s="29"/>
    </row>
  </sheetData>
  <mergeCells count="1">
    <mergeCell ref="C3:E4"/>
  </mergeCells>
  <conditionalFormatting sqref="C7:H52 J7:L52">
    <cfRule type="expression" dxfId="85" priority="77">
      <formula>NOT(ISBLANK($D7))</formula>
    </cfRule>
  </conditionalFormatting>
  <dataValidations disablePrompts="1" count="1">
    <dataValidation allowBlank="1" showInputMessage="1" showErrorMessage="1" prompt="Reference Text - copy and paste from Application Form" sqref="E21:E26 E39:E44 E7:E18" xr:uid="{9F514886-0A4F-41BA-9A09-74FFCEDF41C3}"/>
  </dataValidations>
  <pageMargins left="0.31496062992125984" right="0.31496062992125984" top="0.74803149606299213" bottom="0.55118110236220474" header="0.31496062992125984" footer="0.31496062992125984"/>
  <pageSetup scale="63" fitToHeight="12" orientation="portrait" horizontalDpi="1200" verticalDpi="1200" r:id="rId1"/>
  <headerFooter>
    <oddHeader>&amp;R&amp;K00-026Mackenzie Valley Land-Use Security Estimate Tool</oddHeader>
    <oddFooter>&amp;C&amp;K00-033BCL/ DXB&amp;R&amp;K00-033Page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DFF37-0A73-4144-8815-C32896B11C5B}">
  <sheetPr codeName="Sheet4">
    <tabColor theme="0" tint="-0.249977111117893"/>
    <pageSetUpPr fitToPage="1"/>
  </sheetPr>
  <dimension ref="A1:S89"/>
  <sheetViews>
    <sheetView zoomScaleNormal="100" workbookViewId="0">
      <pane xSplit="6" ySplit="6" topLeftCell="G35" activePane="bottomRight" state="frozen"/>
      <selection activeCell="H5" sqref="H5"/>
      <selection pane="topRight" activeCell="H5" sqref="H5"/>
      <selection pane="bottomLeft" activeCell="H5" sqref="H5"/>
      <selection pane="bottomRight" activeCell="K42" sqref="K42"/>
    </sheetView>
  </sheetViews>
  <sheetFormatPr defaultColWidth="8.77734375" defaultRowHeight="18" x14ac:dyDescent="0.3"/>
  <cols>
    <col min="1" max="1" width="1.6640625" style="8" customWidth="1"/>
    <col min="2" max="2" width="3.6640625" style="32" customWidth="1"/>
    <col min="3" max="4" width="8.6640625" style="1" customWidth="1"/>
    <col min="5" max="5" width="6.6640625" style="1" customWidth="1"/>
    <col min="6" max="6" width="36.6640625" style="3" customWidth="1"/>
    <col min="7" max="7" width="14.6640625" style="7" customWidth="1"/>
    <col min="8" max="9" width="14.6640625" style="1" customWidth="1"/>
    <col min="10" max="10" width="14.6640625" style="1" hidden="1" customWidth="1"/>
    <col min="11" max="12" width="14.6640625" style="1" customWidth="1"/>
    <col min="13" max="13" width="1.6640625" style="1" customWidth="1"/>
    <col min="14" max="15" width="14.6640625" style="183" customWidth="1"/>
    <col min="16" max="16384" width="8.77734375" style="1"/>
  </cols>
  <sheetData>
    <row r="1" spans="1:19" x14ac:dyDescent="0.3">
      <c r="A1" s="295" t="str">
        <f>'Costing Questions'!A1</f>
        <v>Security Estimate Tool - DRAFT 3 - Blank</v>
      </c>
    </row>
    <row r="2" spans="1:19" ht="18.600000000000001" thickBot="1" x14ac:dyDescent="0.35">
      <c r="B2" s="185"/>
    </row>
    <row r="3" spans="1:19" ht="18.600000000000001" thickBot="1" x14ac:dyDescent="0.35">
      <c r="B3" s="185"/>
      <c r="C3" s="281"/>
      <c r="D3" s="282"/>
      <c r="E3" s="283" t="s">
        <v>87</v>
      </c>
      <c r="F3" s="284">
        <f>SUM(OUT_TBL[Security Amount])</f>
        <v>0</v>
      </c>
    </row>
    <row r="4" spans="1:19" x14ac:dyDescent="0.3">
      <c r="B4" s="185"/>
    </row>
    <row r="5" spans="1:19" x14ac:dyDescent="0.3">
      <c r="B5" s="185"/>
      <c r="G5" s="27"/>
      <c r="H5" s="280"/>
    </row>
    <row r="6" spans="1:19" s="13" customFormat="1" ht="36" customHeight="1" x14ac:dyDescent="0.3">
      <c r="A6" s="11"/>
      <c r="B6" s="33"/>
      <c r="C6" s="209" t="s">
        <v>209</v>
      </c>
      <c r="D6" s="209" t="s">
        <v>208</v>
      </c>
      <c r="E6" s="209" t="s">
        <v>210</v>
      </c>
      <c r="F6" s="209" t="s">
        <v>22</v>
      </c>
      <c r="G6" s="210" t="s">
        <v>99</v>
      </c>
      <c r="H6" s="210" t="s">
        <v>3</v>
      </c>
      <c r="I6" s="210" t="s">
        <v>54</v>
      </c>
      <c r="J6" s="210" t="s">
        <v>67</v>
      </c>
      <c r="K6" s="210" t="s">
        <v>55</v>
      </c>
      <c r="L6" s="210" t="s">
        <v>73</v>
      </c>
      <c r="N6" s="205"/>
      <c r="O6" s="205"/>
      <c r="P6" s="206"/>
      <c r="Q6" s="206"/>
      <c r="R6" s="206"/>
      <c r="S6" s="206"/>
    </row>
    <row r="7" spans="1:19" x14ac:dyDescent="0.3">
      <c r="C7" s="220" t="s">
        <v>58</v>
      </c>
      <c r="D7" s="221"/>
      <c r="E7" s="221"/>
      <c r="F7" s="222"/>
      <c r="G7" s="223"/>
      <c r="H7" s="224"/>
      <c r="I7" s="225"/>
      <c r="J7" s="226"/>
      <c r="K7" s="225"/>
      <c r="L7" s="227">
        <f>SUM(K7:K42)</f>
        <v>0</v>
      </c>
      <c r="N7" s="207"/>
      <c r="O7" s="207"/>
      <c r="P7" s="208"/>
      <c r="Q7" s="208"/>
      <c r="R7" s="208"/>
      <c r="S7" s="208"/>
    </row>
    <row r="8" spans="1:19" x14ac:dyDescent="0.3">
      <c r="C8" s="274">
        <f>'Quantity Calcs'!D9</f>
        <v>1</v>
      </c>
      <c r="D8" s="275" t="str">
        <f>'Quantity Calcs'!E9</f>
        <v>Restoration of Disturbed Lands</v>
      </c>
      <c r="E8" s="275"/>
      <c r="F8" s="243"/>
      <c r="G8" s="211"/>
      <c r="H8" s="276"/>
      <c r="I8" s="277"/>
      <c r="J8" s="278"/>
      <c r="K8" s="277"/>
      <c r="L8" s="279">
        <f>SUM(K8:K15)</f>
        <v>0</v>
      </c>
    </row>
    <row r="9" spans="1:19" x14ac:dyDescent="0.3">
      <c r="C9" s="102"/>
      <c r="D9" s="103" t="str">
        <f>'Quantity Calcs'!E10</f>
        <v>a</v>
      </c>
      <c r="E9" s="103" t="str">
        <f>'Quantity Calcs'!F10</f>
        <v>Restoration of Disturbed Lands</v>
      </c>
      <c r="F9" s="25"/>
      <c r="G9" s="104"/>
      <c r="H9" s="105"/>
      <c r="I9" s="106"/>
      <c r="J9" s="107"/>
      <c r="K9" s="106"/>
      <c r="L9" s="200"/>
    </row>
    <row r="10" spans="1:19" ht="24" x14ac:dyDescent="0.3">
      <c r="C10" s="55"/>
      <c r="D10" s="56"/>
      <c r="E10" s="56">
        <f>'Quantity Calcs'!F11</f>
        <v>1.01</v>
      </c>
      <c r="F10" s="18" t="str">
        <f>'Quantity Calcs'!G11</f>
        <v>Does land restoration require the use of heavy equipment?</v>
      </c>
      <c r="G10" s="57" t="str">
        <f>'Quantity Calcs'!O11</f>
        <v>No</v>
      </c>
      <c r="H10" s="108" t="str">
        <f>'Quantity Calcs'!P11</f>
        <v>Y/ N Trigger</v>
      </c>
      <c r="I10" s="109" t="str">
        <f>'Unit Rate Calcs'!P39</f>
        <v>n/a</v>
      </c>
      <c r="J10" s="110"/>
      <c r="K10" s="109">
        <f>SUM(G10:H10)*SUM(I10:J10)</f>
        <v>0</v>
      </c>
      <c r="L10" s="201"/>
    </row>
    <row r="11" spans="1:19" ht="84" x14ac:dyDescent="0.3">
      <c r="C11" s="101"/>
      <c r="D11" s="112"/>
      <c r="E11" s="112">
        <f>'Quantity Calcs'!F12</f>
        <v>1.02</v>
      </c>
      <c r="F11" s="15" t="str">
        <f>'Quantity Calcs'!G12</f>
        <v xml:space="preserve">Restoration of disturbed lands, as required:
→ Re-contouring disturbed areas
→ Removal of gravel pads
→ Burying sumps
→ Reclaim site access roads
</v>
      </c>
      <c r="G11" s="57" t="str">
        <f>'Quantity Calcs'!O12</f>
        <v>No Work</v>
      </c>
      <c r="H11" s="108" t="str">
        <f>'Quantity Calcs'!P12</f>
        <v>ha</v>
      </c>
      <c r="I11" s="109">
        <f>'Unit Rate Calcs'!P40</f>
        <v>5878.4210526315792</v>
      </c>
      <c r="J11" s="110"/>
      <c r="K11" s="109">
        <f>SUM(G11:H11)*SUM(I11:J11)</f>
        <v>0</v>
      </c>
      <c r="L11" s="201"/>
    </row>
    <row r="12" spans="1:19" x14ac:dyDescent="0.3">
      <c r="C12" s="101"/>
      <c r="D12" s="112"/>
      <c r="E12" s="112">
        <f>'Quantity Calcs'!F13</f>
        <v>1.03</v>
      </c>
      <c r="F12" s="15" t="str">
        <f>'Quantity Calcs'!G13</f>
        <v>Placement of salvaged topsoil and/or organics</v>
      </c>
      <c r="G12" s="57" t="str">
        <f>'Quantity Calcs'!O13</f>
        <v>No Work</v>
      </c>
      <c r="H12" s="108" t="str">
        <f>'Quantity Calcs'!P13</f>
        <v>cu.m</v>
      </c>
      <c r="I12" s="109">
        <f>'Unit Rate Calcs'!P41</f>
        <v>12.692045454545454</v>
      </c>
      <c r="J12" s="110"/>
      <c r="K12" s="109">
        <f>SUM(G12:H12)*SUM(I12:J12)</f>
        <v>0</v>
      </c>
      <c r="L12" s="201"/>
    </row>
    <row r="13" spans="1:19" x14ac:dyDescent="0.3">
      <c r="C13" s="101"/>
      <c r="D13" s="112"/>
      <c r="E13" s="112">
        <f>'Quantity Calcs'!F14</f>
        <v>1.04</v>
      </c>
      <c r="F13" s="15" t="str">
        <f>'Quantity Calcs'!G14</f>
        <v>Application of fertilizer</v>
      </c>
      <c r="G13" s="57" t="str">
        <f>'Quantity Calcs'!O14</f>
        <v>No Work</v>
      </c>
      <c r="H13" s="108" t="str">
        <f>'Quantity Calcs'!P14</f>
        <v>ha</v>
      </c>
      <c r="I13" s="109">
        <f>'Unit Rate Calcs'!P42</f>
        <v>1979.3999999999999</v>
      </c>
      <c r="J13" s="110"/>
      <c r="K13" s="109">
        <f>SUM(G13:H13)*SUM(I13:J13)</f>
        <v>0</v>
      </c>
      <c r="L13" s="201"/>
    </row>
    <row r="14" spans="1:19" x14ac:dyDescent="0.3">
      <c r="C14" s="101"/>
      <c r="D14" s="112"/>
      <c r="E14" s="112">
        <f>'Quantity Calcs'!F15</f>
        <v>1.05</v>
      </c>
      <c r="F14" s="15" t="str">
        <f>'Quantity Calcs'!G15</f>
        <v>Seeding/ planting</v>
      </c>
      <c r="G14" s="57" t="str">
        <f>'Quantity Calcs'!O15</f>
        <v>No Work</v>
      </c>
      <c r="H14" s="108" t="str">
        <f>'Quantity Calcs'!P15</f>
        <v>ha</v>
      </c>
      <c r="I14" s="109">
        <f>'Unit Rate Calcs'!P43</f>
        <v>2005.6499999999999</v>
      </c>
      <c r="J14" s="110"/>
      <c r="K14" s="109">
        <f>SUM(G14:H14)*SUM(I14:J14)</f>
        <v>0</v>
      </c>
      <c r="L14" s="201"/>
    </row>
    <row r="15" spans="1:19" x14ac:dyDescent="0.3">
      <c r="C15" s="231">
        <f>'Quantity Calcs'!D16</f>
        <v>2</v>
      </c>
      <c r="D15" s="232" t="str">
        <f>'Quantity Calcs'!E16</f>
        <v>Removal of Abandoned Equipment and Buildings (Demobilization component in Section 5)</v>
      </c>
      <c r="E15" s="232"/>
      <c r="F15" s="218"/>
      <c r="G15" s="219"/>
      <c r="H15" s="233"/>
      <c r="I15" s="234"/>
      <c r="J15" s="235"/>
      <c r="K15" s="234"/>
      <c r="L15" s="236">
        <f>SUM(K15:K24)</f>
        <v>0</v>
      </c>
    </row>
    <row r="16" spans="1:19" x14ac:dyDescent="0.3">
      <c r="C16" s="102"/>
      <c r="D16" s="103" t="str">
        <f>'Quantity Calcs'!E17</f>
        <v>a</v>
      </c>
      <c r="E16" s="103" t="str">
        <f>'Quantity Calcs'!F17</f>
        <v>Prepare Abandoned Equipment for removal/ demobilization</v>
      </c>
      <c r="F16" s="25"/>
      <c r="G16" s="104"/>
      <c r="H16" s="105"/>
      <c r="I16" s="106"/>
      <c r="J16" s="107"/>
      <c r="K16" s="106"/>
      <c r="L16" s="200"/>
    </row>
    <row r="17" spans="3:12" ht="24" x14ac:dyDescent="0.3">
      <c r="C17" s="101"/>
      <c r="D17" s="112"/>
      <c r="E17" s="112">
        <f>'Quantity Calcs'!F18</f>
        <v>2.0099999999999998</v>
      </c>
      <c r="F17" s="15" t="str">
        <f>'Quantity Calcs'!G18</f>
        <v>Prepare equipment for demobilization</v>
      </c>
      <c r="G17" s="57">
        <f>'Quantity Calcs'!O18</f>
        <v>0</v>
      </c>
      <c r="H17" s="108" t="str">
        <f>'Quantity Calcs'!P18</f>
        <v>pieces of equipment</v>
      </c>
      <c r="I17" s="109">
        <f>'Unit Rate Calcs'!P46</f>
        <v>73.609090909090909</v>
      </c>
      <c r="J17" s="110"/>
      <c r="K17" s="109">
        <f>SUM(G17:H17)*SUM(I17:J17)</f>
        <v>0</v>
      </c>
      <c r="L17" s="201"/>
    </row>
    <row r="18" spans="3:12" x14ac:dyDescent="0.3">
      <c r="C18" s="102"/>
      <c r="D18" s="103" t="str">
        <f>'Quantity Calcs'!E19</f>
        <v>b</v>
      </c>
      <c r="E18" s="103" t="str">
        <f>'Quantity Calcs'!F19</f>
        <v>Prepare Abandoned Camp/ Buildings/ Infrastructure for removal/ demobilization</v>
      </c>
      <c r="F18" s="25"/>
      <c r="G18" s="104"/>
      <c r="H18" s="105"/>
      <c r="I18" s="106"/>
      <c r="J18" s="107"/>
      <c r="K18" s="106"/>
      <c r="L18" s="200"/>
    </row>
    <row r="19" spans="3:12" x14ac:dyDescent="0.3">
      <c r="C19" s="101"/>
      <c r="D19" s="112"/>
      <c r="E19" s="112">
        <f>'Quantity Calcs'!F20</f>
        <v>2.0199999999999996</v>
      </c>
      <c r="F19" s="15" t="str">
        <f>'Quantity Calcs'!G20</f>
        <v>Consolidation of scrap/ garbage</v>
      </c>
      <c r="G19" s="57">
        <f>'Quantity Calcs'!O20</f>
        <v>0</v>
      </c>
      <c r="H19" s="108" t="str">
        <f>'Quantity Calcs'!P20</f>
        <v>ha</v>
      </c>
      <c r="I19" s="109">
        <f>'Unit Rate Calcs'!P48</f>
        <v>809.69999999999993</v>
      </c>
      <c r="J19" s="110"/>
      <c r="K19" s="109">
        <f>SUM(G19:H19)*SUM(I19:J19)</f>
        <v>0</v>
      </c>
      <c r="L19" s="201"/>
    </row>
    <row r="20" spans="3:12" ht="24" x14ac:dyDescent="0.3">
      <c r="C20" s="101"/>
      <c r="D20" s="112"/>
      <c r="E20" s="112">
        <f>'Quantity Calcs'!F21</f>
        <v>2.0299999999999994</v>
      </c>
      <c r="F20" s="15" t="str">
        <f>'Quantity Calcs'!G21</f>
        <v>Demolish/ dismantle camp/ buildings/ infrastructure</v>
      </c>
      <c r="G20" s="57">
        <f>'Quantity Calcs'!O21</f>
        <v>0</v>
      </c>
      <c r="H20" s="108" t="str">
        <f>'Quantity Calcs'!P21</f>
        <v>sq.m</v>
      </c>
      <c r="I20" s="109">
        <f>'Unit Rate Calcs'!P49</f>
        <v>40.484999999999999</v>
      </c>
      <c r="J20" s="110"/>
      <c r="K20" s="109">
        <f>SUM(G20:H20)*SUM(I20:J20)</f>
        <v>0</v>
      </c>
      <c r="L20" s="201"/>
    </row>
    <row r="21" spans="3:12" x14ac:dyDescent="0.3">
      <c r="C21" s="102"/>
      <c r="D21" s="103" t="str">
        <f>'Quantity Calcs'!E22</f>
        <v>c</v>
      </c>
      <c r="E21" s="103" t="str">
        <f>'Quantity Calcs'!F22</f>
        <v>Disposal Costs</v>
      </c>
      <c r="F21" s="25"/>
      <c r="G21" s="104"/>
      <c r="H21" s="105"/>
      <c r="I21" s="106"/>
      <c r="J21" s="107"/>
      <c r="K21" s="106"/>
      <c r="L21" s="200"/>
    </row>
    <row r="22" spans="3:12" ht="24" x14ac:dyDescent="0.3">
      <c r="C22" s="101"/>
      <c r="D22" s="112"/>
      <c r="E22" s="112">
        <f>'Quantity Calcs'!F23</f>
        <v>2.04</v>
      </c>
      <c r="F22" s="15" t="str">
        <f>'Quantity Calcs'!G23</f>
        <v>Waste transport to southern disposal facility from hub city; e.g. Yellowknife</v>
      </c>
      <c r="G22" s="57">
        <f>'Quantity Calcs'!O23</f>
        <v>0</v>
      </c>
      <c r="H22" s="108" t="str">
        <f>'Quantity Calcs'!P23</f>
        <v>tonnes</v>
      </c>
      <c r="I22" s="109" t="str">
        <f>'Unit Rate Calcs'!P51</f>
        <v>Included in disposal fee</v>
      </c>
      <c r="J22" s="110"/>
      <c r="K22" s="109">
        <f>SUM(G22:H22)*SUM(I22:J22)</f>
        <v>0</v>
      </c>
      <c r="L22" s="201"/>
    </row>
    <row r="23" spans="3:12" x14ac:dyDescent="0.3">
      <c r="C23" s="101"/>
      <c r="D23" s="112"/>
      <c r="E23" s="112">
        <f>'Quantity Calcs'!F24</f>
        <v>2.0499999999999998</v>
      </c>
      <c r="F23" s="15" t="str">
        <f>'Quantity Calcs'!G24</f>
        <v>Waste disposal tipping fee</v>
      </c>
      <c r="G23" s="57">
        <f>'Quantity Calcs'!O24</f>
        <v>0</v>
      </c>
      <c r="H23" s="108" t="str">
        <f>'Quantity Calcs'!P24</f>
        <v>tonnes</v>
      </c>
      <c r="I23" s="109">
        <f>'Unit Rate Calcs'!P52</f>
        <v>225.5</v>
      </c>
      <c r="J23" s="110"/>
      <c r="K23" s="109">
        <f>SUM(G23:H23)*SUM(I23:J23)</f>
        <v>0</v>
      </c>
      <c r="L23" s="201"/>
    </row>
    <row r="24" spans="3:12" x14ac:dyDescent="0.3">
      <c r="C24" s="98">
        <f>'Quantity Calcs'!D25</f>
        <v>3</v>
      </c>
      <c r="D24" s="113" t="str">
        <f>'Quantity Calcs'!E25</f>
        <v>Management of Hazardous Materials and Contaminated Soil (Demobilization component in Section 5)</v>
      </c>
      <c r="E24" s="113"/>
      <c r="F24" s="16"/>
      <c r="G24" s="99"/>
      <c r="H24" s="114"/>
      <c r="I24" s="115"/>
      <c r="J24" s="116"/>
      <c r="K24" s="115"/>
      <c r="L24" s="202">
        <f>SUM(K24:K36)</f>
        <v>0</v>
      </c>
    </row>
    <row r="25" spans="3:12" x14ac:dyDescent="0.3">
      <c r="C25" s="102"/>
      <c r="D25" s="103" t="str">
        <f>'Quantity Calcs'!E26</f>
        <v>a</v>
      </c>
      <c r="E25" s="103" t="str">
        <f>'Quantity Calcs'!F26</f>
        <v>Prepare Hazardous Materials for Removal/ Demobilization (residual waste fuel, waste fuel containers, hazardous building materials, etc.)</v>
      </c>
      <c r="F25" s="25"/>
      <c r="G25" s="104"/>
      <c r="H25" s="105"/>
      <c r="I25" s="106"/>
      <c r="J25" s="107"/>
      <c r="K25" s="106"/>
      <c r="L25" s="200"/>
    </row>
    <row r="26" spans="3:12" ht="60" x14ac:dyDescent="0.3">
      <c r="C26" s="101"/>
      <c r="D26" s="112"/>
      <c r="E26" s="112">
        <f>'Quantity Calcs'!F27</f>
        <v>3.01</v>
      </c>
      <c r="F26" s="15" t="str">
        <f>'Quantity Calcs'!G27</f>
        <v xml:space="preserve">Preparation of fuel barrels and fuel containers for removal/ demob:
→ Transfer residual liquids out of containers
→ Decontaminate, as required
</v>
      </c>
      <c r="G26" s="57">
        <f>'Quantity Calcs'!O27</f>
        <v>0</v>
      </c>
      <c r="H26" s="108" t="str">
        <f>'Quantity Calcs'!P27</f>
        <v>L of fuel containers</v>
      </c>
      <c r="I26" s="109">
        <f>'Unit Rate Calcs'!P55</f>
        <v>0.11968957871396894</v>
      </c>
      <c r="J26" s="110"/>
      <c r="K26" s="109">
        <f>SUM(G26:H26)*SUM(I26:J26)</f>
        <v>0</v>
      </c>
      <c r="L26" s="201"/>
    </row>
    <row r="27" spans="3:12" ht="24" x14ac:dyDescent="0.3">
      <c r="C27" s="101"/>
      <c r="D27" s="112"/>
      <c r="E27" s="112">
        <f>'Quantity Calcs'!F28</f>
        <v>3.02</v>
      </c>
      <c r="F27" s="15" t="str">
        <f>'Quantity Calcs'!G28</f>
        <v>Hazmat abatement/ consolidated and contain for demobilization</v>
      </c>
      <c r="G27" s="57">
        <f>'Quantity Calcs'!O28</f>
        <v>0</v>
      </c>
      <c r="H27" s="108" t="str">
        <f>'Quantity Calcs'!P28</f>
        <v>ea</v>
      </c>
      <c r="I27" s="109">
        <f>'Unit Rate Calcs'!P56</f>
        <v>3238.7999999999997</v>
      </c>
      <c r="J27" s="110"/>
      <c r="K27" s="109">
        <f>SUM(G27:H27)*SUM(I27:J27)</f>
        <v>0</v>
      </c>
      <c r="L27" s="201"/>
    </row>
    <row r="28" spans="3:12" x14ac:dyDescent="0.3">
      <c r="C28" s="102"/>
      <c r="D28" s="103" t="str">
        <f>'Quantity Calcs'!E29</f>
        <v>b</v>
      </c>
      <c r="E28" s="103" t="str">
        <f>'Quantity Calcs'!F29</f>
        <v>Soil Remediation (e.g. dig and remove)</v>
      </c>
      <c r="F28" s="25"/>
      <c r="G28" s="104"/>
      <c r="H28" s="105"/>
      <c r="I28" s="106"/>
      <c r="J28" s="107"/>
      <c r="K28" s="106"/>
      <c r="L28" s="200"/>
    </row>
    <row r="29" spans="3:12" ht="24" x14ac:dyDescent="0.3">
      <c r="C29" s="101"/>
      <c r="D29" s="112"/>
      <c r="E29" s="112">
        <f>'Quantity Calcs'!F30</f>
        <v>3.03</v>
      </c>
      <c r="F29" s="15" t="str">
        <f>'Quantity Calcs'!G30</f>
        <v>Soil remediation (manual labour to dig out contaminated soil by fuel transfer areas)</v>
      </c>
      <c r="G29" s="57">
        <f>'Quantity Calcs'!O30</f>
        <v>0</v>
      </c>
      <c r="H29" s="108" t="str">
        <f>'Quantity Calcs'!P30</f>
        <v>cu.m</v>
      </c>
      <c r="I29" s="109">
        <f>'Unit Rate Calcs'!P58</f>
        <v>1079.5999999999999</v>
      </c>
      <c r="J29" s="110"/>
      <c r="K29" s="109">
        <f>SUM(G29:H29)*SUM(I29:J29)</f>
        <v>0</v>
      </c>
      <c r="L29" s="201"/>
    </row>
    <row r="30" spans="3:12" x14ac:dyDescent="0.3">
      <c r="C30" s="102"/>
      <c r="D30" s="103" t="str">
        <f>'Quantity Calcs'!E31</f>
        <v>c</v>
      </c>
      <c r="E30" s="103" t="str">
        <f>'Quantity Calcs'!F31</f>
        <v>Disposal of Hazardous Materials</v>
      </c>
      <c r="F30" s="25"/>
      <c r="G30" s="104"/>
      <c r="H30" s="105"/>
      <c r="I30" s="106"/>
      <c r="J30" s="107"/>
      <c r="K30" s="106"/>
      <c r="L30" s="200"/>
    </row>
    <row r="31" spans="3:12" ht="24" x14ac:dyDescent="0.3">
      <c r="C31" s="101"/>
      <c r="D31" s="112"/>
      <c r="E31" s="112">
        <f>'Quantity Calcs'!F32</f>
        <v>3.04</v>
      </c>
      <c r="F31" s="15" t="str">
        <f>'Quantity Calcs'!G32</f>
        <v>Transport of solid hazardous wastes to southern disposal facility from hub city; e.g. Yellowknife</v>
      </c>
      <c r="G31" s="57">
        <f>'Quantity Calcs'!O32</f>
        <v>0</v>
      </c>
      <c r="H31" s="108" t="str">
        <f>'Quantity Calcs'!P32</f>
        <v>tonne</v>
      </c>
      <c r="I31" s="109" t="str">
        <f>'Unit Rate Calcs'!P60</f>
        <v>Included in disposal fee</v>
      </c>
      <c r="J31" s="110"/>
      <c r="K31" s="109">
        <f>SUM(G31:H31)*SUM(I31:J31)</f>
        <v>0</v>
      </c>
      <c r="L31" s="201"/>
    </row>
    <row r="32" spans="3:12" ht="24" x14ac:dyDescent="0.3">
      <c r="C32" s="101"/>
      <c r="D32" s="112"/>
      <c r="E32" s="112">
        <f>'Quantity Calcs'!F33</f>
        <v>3.05</v>
      </c>
      <c r="F32" s="15" t="str">
        <f>'Quantity Calcs'!G33</f>
        <v>Transport of liquid hazardous wastes to southern disposal facility from hub city; e.g. Yellowknife</v>
      </c>
      <c r="G32" s="57">
        <f>'Quantity Calcs'!O33</f>
        <v>0</v>
      </c>
      <c r="H32" s="108" t="str">
        <f>'Quantity Calcs'!P33</f>
        <v>tonne</v>
      </c>
      <c r="I32" s="109" t="str">
        <f>'Unit Rate Calcs'!P61</f>
        <v>Included in disposal fee</v>
      </c>
      <c r="J32" s="110"/>
      <c r="K32" s="109">
        <f>SUM(G32:H32)*SUM(I32:J32)</f>
        <v>0</v>
      </c>
      <c r="L32" s="201"/>
    </row>
    <row r="33" spans="3:12" ht="36" x14ac:dyDescent="0.3">
      <c r="C33" s="101"/>
      <c r="D33" s="112"/>
      <c r="E33" s="112">
        <f>'Quantity Calcs'!F34</f>
        <v>3.06</v>
      </c>
      <c r="F33" s="18" t="str">
        <f>'Quantity Calcs'!G34</f>
        <v xml:space="preserve">Hazmat disposal tipping fees:
→ Empty barrels and fuel containers
</v>
      </c>
      <c r="G33" s="57">
        <f>'Quantity Calcs'!O34</f>
        <v>0</v>
      </c>
      <c r="H33" s="108" t="str">
        <f>'Quantity Calcs'!P34</f>
        <v>tonne</v>
      </c>
      <c r="I33" s="109">
        <f>'Unit Rate Calcs'!P62</f>
        <v>225.5</v>
      </c>
      <c r="J33" s="110"/>
      <c r="K33" s="109">
        <f>SUM(G33:H33)*SUM(I33:J33)</f>
        <v>0</v>
      </c>
      <c r="L33" s="201"/>
    </row>
    <row r="34" spans="3:12" ht="36" x14ac:dyDescent="0.3">
      <c r="C34" s="101"/>
      <c r="D34" s="112"/>
      <c r="E34" s="112">
        <f>'Quantity Calcs'!F35</f>
        <v>3.07</v>
      </c>
      <c r="F34" s="18" t="str">
        <f>'Quantity Calcs'!G35</f>
        <v xml:space="preserve">Hazmat disposal tipping fees:
→ Contaminated soil
</v>
      </c>
      <c r="G34" s="57">
        <f>'Quantity Calcs'!O35</f>
        <v>0</v>
      </c>
      <c r="H34" s="108" t="str">
        <f>'Quantity Calcs'!P35</f>
        <v>tonne</v>
      </c>
      <c r="I34" s="109">
        <f>'Unit Rate Calcs'!P63</f>
        <v>192.5</v>
      </c>
      <c r="J34" s="110"/>
      <c r="K34" s="109">
        <f>SUM(G34:H34)*SUM(I34:J34)</f>
        <v>0</v>
      </c>
      <c r="L34" s="201"/>
    </row>
    <row r="35" spans="3:12" ht="36" x14ac:dyDescent="0.3">
      <c r="C35" s="101"/>
      <c r="D35" s="112"/>
      <c r="E35" s="112">
        <f>'Quantity Calcs'!F36</f>
        <v>3.08</v>
      </c>
      <c r="F35" s="18" t="str">
        <f>'Quantity Calcs'!G36</f>
        <v xml:space="preserve">Hazmat disposal tipping fees:
→ Waste fuel and waste petrol products
</v>
      </c>
      <c r="G35" s="57">
        <f>'Quantity Calcs'!O36</f>
        <v>0</v>
      </c>
      <c r="H35" s="108" t="str">
        <f>'Quantity Calcs'!P36</f>
        <v>L</v>
      </c>
      <c r="I35" s="109">
        <f>'Unit Rate Calcs'!P64</f>
        <v>1.5</v>
      </c>
      <c r="J35" s="110"/>
      <c r="K35" s="109">
        <f>SUM(G35:H35)*SUM(I35:J35)</f>
        <v>0</v>
      </c>
      <c r="L35" s="201"/>
    </row>
    <row r="36" spans="3:12" x14ac:dyDescent="0.3">
      <c r="C36" s="98">
        <v>4</v>
      </c>
      <c r="D36" s="113" t="str">
        <f>'Quantity Calcs'!E37</f>
        <v>Interim Care and Maintenance (ICM)</v>
      </c>
      <c r="E36" s="113"/>
      <c r="F36" s="16"/>
      <c r="G36" s="99"/>
      <c r="H36" s="114"/>
      <c r="I36" s="115"/>
      <c r="J36" s="116"/>
      <c r="K36" s="115"/>
      <c r="L36" s="202">
        <f>SUM(K36:K42)</f>
        <v>0</v>
      </c>
    </row>
    <row r="37" spans="3:12" x14ac:dyDescent="0.3">
      <c r="C37" s="102"/>
      <c r="D37" s="103" t="str">
        <f>'Quantity Calcs'!E38</f>
        <v>a</v>
      </c>
      <c r="E37" s="103" t="str">
        <f>'Quantity Calcs'!F38</f>
        <v>Site Inspection</v>
      </c>
      <c r="F37" s="25"/>
      <c r="G37" s="104"/>
      <c r="H37" s="105"/>
      <c r="I37" s="106"/>
      <c r="J37" s="107"/>
      <c r="K37" s="106"/>
      <c r="L37" s="200"/>
    </row>
    <row r="38" spans="3:12" ht="24" x14ac:dyDescent="0.3">
      <c r="C38" s="101"/>
      <c r="D38" s="112"/>
      <c r="E38" s="112">
        <f>'Quantity Calcs'!F39</f>
        <v>4.01</v>
      </c>
      <c r="F38" s="15" t="str">
        <f>'Quantity Calcs'!G39</f>
        <v>Site inspection/ monitoring by a Contractor (fly in by air)</v>
      </c>
      <c r="G38" s="57" t="str">
        <f>'Quantity Calcs'!O39</f>
        <v>No Work</v>
      </c>
      <c r="H38" s="108" t="str">
        <f>'Quantity Calcs'!P39</f>
        <v>cost</v>
      </c>
      <c r="I38" s="109">
        <f>'Unit Rate Calcs'!P67</f>
        <v>2044.56</v>
      </c>
      <c r="J38" s="110"/>
      <c r="K38" s="109">
        <f>SUM(G38:H38)*SUM(I38:J38)</f>
        <v>0</v>
      </c>
      <c r="L38" s="201"/>
    </row>
    <row r="39" spans="3:12" x14ac:dyDescent="0.3">
      <c r="C39" s="102"/>
      <c r="D39" s="103" t="str">
        <f>'Quantity Calcs'!E40</f>
        <v>b</v>
      </c>
      <c r="E39" s="103" t="str">
        <f>'Quantity Calcs'!F40</f>
        <v>ICM Monitoring</v>
      </c>
      <c r="F39" s="25"/>
      <c r="G39" s="104"/>
      <c r="H39" s="105"/>
      <c r="I39" s="106"/>
      <c r="J39" s="107"/>
      <c r="K39" s="106"/>
      <c r="L39" s="200"/>
    </row>
    <row r="40" spans="3:12" x14ac:dyDescent="0.3">
      <c r="C40" s="101"/>
      <c r="D40" s="112"/>
      <c r="E40" s="112">
        <f>'Quantity Calcs'!F41</f>
        <v>4.0199999999999996</v>
      </c>
      <c r="F40" s="15" t="str">
        <f>'Quantity Calcs'!G41</f>
        <v>ICM geotechnical monitoring</v>
      </c>
      <c r="G40" s="57" t="str">
        <f>'Quantity Calcs'!O41</f>
        <v>No Work</v>
      </c>
      <c r="H40" s="108" t="str">
        <f>'Quantity Calcs'!P41</f>
        <v>cost</v>
      </c>
      <c r="I40" s="109">
        <f>'Unit Rate Calcs'!P69</f>
        <v>25000</v>
      </c>
      <c r="J40" s="110"/>
      <c r="K40" s="109">
        <f>SUM(G40:H40)*SUM(I40:J40)</f>
        <v>0</v>
      </c>
      <c r="L40" s="201"/>
    </row>
    <row r="41" spans="3:12" x14ac:dyDescent="0.3">
      <c r="C41" s="101"/>
      <c r="D41" s="112"/>
      <c r="E41" s="112">
        <f>'Quantity Calcs'!F42</f>
        <v>4.03</v>
      </c>
      <c r="F41" s="15" t="str">
        <f>'Quantity Calcs'!G42</f>
        <v>ICM groundwater and surface water monitoring</v>
      </c>
      <c r="G41" s="57" t="str">
        <f>'Quantity Calcs'!O42</f>
        <v>No Work</v>
      </c>
      <c r="H41" s="108" t="str">
        <f>'Quantity Calcs'!P42</f>
        <v>cost</v>
      </c>
      <c r="I41" s="109">
        <f>'Unit Rate Calcs'!P70</f>
        <v>40000</v>
      </c>
      <c r="J41" s="110"/>
      <c r="K41" s="109">
        <f>SUM(G41:H41)*SUM(I41:J41)</f>
        <v>0</v>
      </c>
      <c r="L41" s="201"/>
    </row>
    <row r="42" spans="3:12" x14ac:dyDescent="0.3">
      <c r="C42" s="117" t="s">
        <v>59</v>
      </c>
      <c r="D42" s="118"/>
      <c r="E42" s="118"/>
      <c r="F42" s="26"/>
      <c r="G42" s="119"/>
      <c r="H42" s="120"/>
      <c r="I42" s="121"/>
      <c r="J42" s="122"/>
      <c r="K42" s="121"/>
      <c r="L42" s="203">
        <f>SUM(K42:K89)</f>
        <v>0</v>
      </c>
    </row>
    <row r="43" spans="3:12" x14ac:dyDescent="0.3">
      <c r="C43" s="98">
        <v>5</v>
      </c>
      <c r="D43" s="113" t="str">
        <f>'Quantity Calcs'!E43</f>
        <v>Mobilization, Camp, and Demobilization Costs</v>
      </c>
      <c r="E43" s="113"/>
      <c r="F43" s="16"/>
      <c r="G43" s="99"/>
      <c r="H43" s="114"/>
      <c r="I43" s="115"/>
      <c r="J43" s="116"/>
      <c r="K43" s="115"/>
      <c r="L43" s="202">
        <f>SUM(K43:K68)</f>
        <v>0</v>
      </c>
    </row>
    <row r="44" spans="3:12" x14ac:dyDescent="0.3">
      <c r="C44" s="102"/>
      <c r="D44" s="103" t="str">
        <f>'Quantity Calcs'!E44</f>
        <v>a</v>
      </c>
      <c r="E44" s="103" t="str">
        <f>'Quantity Calcs'!F44</f>
        <v>Mobilization of Heavy Equipment for the Reclamation Work, if required</v>
      </c>
      <c r="F44" s="25"/>
      <c r="G44" s="104"/>
      <c r="H44" s="105"/>
      <c r="I44" s="106"/>
      <c r="J44" s="107"/>
      <c r="K44" s="106"/>
      <c r="L44" s="200">
        <f>SUM(K44:K50)</f>
        <v>0</v>
      </c>
    </row>
    <row r="45" spans="3:12" ht="24" x14ac:dyDescent="0.3">
      <c r="C45" s="101"/>
      <c r="D45" s="112"/>
      <c r="E45" s="112">
        <f>'Quantity Calcs'!F45</f>
        <v>5.01</v>
      </c>
      <c r="F45" s="15" t="str">
        <f>'Quantity Calcs'!G45</f>
        <v>Will heavy equipment be required for the reclamation work?</v>
      </c>
      <c r="G45" s="57" t="str">
        <f>'Quantity Calcs'!O45</f>
        <v>No</v>
      </c>
      <c r="H45" s="108" t="str">
        <f>'Quantity Calcs'!P45</f>
        <v>Y/ N Trigger</v>
      </c>
      <c r="I45" s="109" t="str">
        <f>'Unit Rate Calcs'!P73</f>
        <v>n/a</v>
      </c>
      <c r="J45" s="110"/>
      <c r="K45" s="109">
        <f t="shared" ref="K45:K49" si="0">SUM(G45:H45)*SUM(I45:J45)</f>
        <v>0</v>
      </c>
      <c r="L45" s="201"/>
    </row>
    <row r="46" spans="3:12" x14ac:dyDescent="0.3">
      <c r="C46" s="101"/>
      <c r="D46" s="112"/>
      <c r="E46" s="112">
        <f>'Quantity Calcs'!F46</f>
        <v>5.0199999999999996</v>
      </c>
      <c r="F46" s="15" t="str">
        <f>'Quantity Calcs'!G46</f>
        <v>Construction of winter road for mobilization</v>
      </c>
      <c r="G46" s="57" t="str">
        <f>'Quantity Calcs'!O46</f>
        <v>No Work</v>
      </c>
      <c r="H46" s="108" t="str">
        <f>'Quantity Calcs'!P46</f>
        <v>km</v>
      </c>
      <c r="I46" s="109">
        <f>'Unit Rate Calcs'!P74</f>
        <v>13000</v>
      </c>
      <c r="J46" s="110"/>
      <c r="K46" s="109">
        <f t="shared" si="0"/>
        <v>0</v>
      </c>
      <c r="L46" s="201"/>
    </row>
    <row r="47" spans="3:12" ht="24" x14ac:dyDescent="0.3">
      <c r="C47" s="101"/>
      <c r="D47" s="112"/>
      <c r="E47" s="112">
        <f>'Quantity Calcs'!F47</f>
        <v>5.0299999999999994</v>
      </c>
      <c r="F47" s="15" t="str">
        <f>'Quantity Calcs'!G47</f>
        <v>Mobilization of heavy equipment and materials for reclamation work</v>
      </c>
      <c r="G47" s="57" t="str">
        <f>'Quantity Calcs'!O47</f>
        <v>No Work</v>
      </c>
      <c r="H47" s="108" t="str">
        <f>'Quantity Calcs'!P47</f>
        <v>tonnes</v>
      </c>
      <c r="I47" s="109">
        <f>'Unit Rate Calcs'!P75</f>
        <v>11.56</v>
      </c>
      <c r="J47" s="110"/>
      <c r="K47" s="109">
        <f t="shared" si="0"/>
        <v>0</v>
      </c>
      <c r="L47" s="201"/>
    </row>
    <row r="48" spans="3:12" x14ac:dyDescent="0.3">
      <c r="C48" s="101"/>
      <c r="D48" s="112"/>
      <c r="E48" s="112">
        <f>'Quantity Calcs'!F48</f>
        <v>5.0399999999999991</v>
      </c>
      <c r="F48" s="15" t="str">
        <f>'Quantity Calcs'!G48</f>
        <v>Mobilization of fuel for reclamation work</v>
      </c>
      <c r="G48" s="57" t="str">
        <f>'Quantity Calcs'!O48</f>
        <v>No Work</v>
      </c>
      <c r="H48" s="108" t="str">
        <f>'Quantity Calcs'!P48</f>
        <v>tonnes</v>
      </c>
      <c r="I48" s="109">
        <f>'Unit Rate Calcs'!P76</f>
        <v>11.56</v>
      </c>
      <c r="J48" s="110"/>
      <c r="K48" s="109">
        <f t="shared" si="0"/>
        <v>0</v>
      </c>
      <c r="L48" s="201"/>
    </row>
    <row r="49" spans="3:16" x14ac:dyDescent="0.3">
      <c r="C49" s="101"/>
      <c r="D49" s="112"/>
      <c r="E49" s="112">
        <f>'Quantity Calcs'!F49</f>
        <v>5.0499999999999989</v>
      </c>
      <c r="F49" s="15" t="str">
        <f>'Quantity Calcs'!G49</f>
        <v>Contingency</v>
      </c>
      <c r="G49" s="57" t="str">
        <f>'Quantity Calcs'!O49</f>
        <v>No Work</v>
      </c>
      <c r="H49" s="108" t="str">
        <f>'Quantity Calcs'!P49</f>
        <v>%</v>
      </c>
      <c r="I49" s="109" t="str">
        <f>'Unit Rate Calcs'!P77</f>
        <v>n/a</v>
      </c>
      <c r="J49" s="110">
        <f>SUM(K45:K48)</f>
        <v>0</v>
      </c>
      <c r="K49" s="109">
        <f t="shared" si="0"/>
        <v>0</v>
      </c>
      <c r="L49" s="201"/>
    </row>
    <row r="50" spans="3:16" x14ac:dyDescent="0.3">
      <c r="C50" s="102"/>
      <c r="D50" s="103" t="str">
        <f>'Quantity Calcs'!E50</f>
        <v>b</v>
      </c>
      <c r="E50" s="103" t="str">
        <f>'Quantity Calcs'!F50</f>
        <v>Mobilization and Demobilization of Workers and Supplies for the Reclamation Work</v>
      </c>
      <c r="F50" s="25"/>
      <c r="G50" s="104"/>
      <c r="H50" s="105"/>
      <c r="I50" s="106"/>
      <c r="J50" s="107"/>
      <c r="K50" s="106"/>
      <c r="L50" s="200">
        <f>SUM(K50:K58)</f>
        <v>0</v>
      </c>
    </row>
    <row r="51" spans="3:16" x14ac:dyDescent="0.3">
      <c r="C51" s="101"/>
      <c r="D51" s="112"/>
      <c r="E51" s="112">
        <f>'Quantity Calcs'!F51</f>
        <v>5.0599999999999996</v>
      </c>
      <c r="F51" s="15" t="str">
        <f>'Quantity Calcs'!G51</f>
        <v>Mobilization of workers</v>
      </c>
      <c r="G51" s="57">
        <f>'Quantity Calcs'!O51</f>
        <v>990</v>
      </c>
      <c r="H51" s="108" t="str">
        <f>'Quantity Calcs'!P51</f>
        <v>kg</v>
      </c>
      <c r="I51" s="109">
        <f>'Unit Rate Calcs'!P79</f>
        <v>0</v>
      </c>
      <c r="J51" s="110"/>
      <c r="K51" s="109">
        <f t="shared" ref="K51:K57" si="1">SUM(G51:H51)*SUM(I51:J51)</f>
        <v>0</v>
      </c>
      <c r="L51" s="201"/>
    </row>
    <row r="52" spans="3:16" x14ac:dyDescent="0.3">
      <c r="C52" s="101"/>
      <c r="D52" s="112"/>
      <c r="E52" s="112">
        <f>'Quantity Calcs'!F52</f>
        <v>5.07</v>
      </c>
      <c r="F52" s="15" t="str">
        <f>'Quantity Calcs'!G52</f>
        <v>Mobilization of operators, if required</v>
      </c>
      <c r="G52" s="57">
        <f>'Quantity Calcs'!O52</f>
        <v>0</v>
      </c>
      <c r="H52" s="108" t="str">
        <f>'Quantity Calcs'!P52</f>
        <v>kg</v>
      </c>
      <c r="I52" s="109">
        <f>'Unit Rate Calcs'!P80</f>
        <v>0</v>
      </c>
      <c r="J52" s="110"/>
      <c r="K52" s="109">
        <f t="shared" si="1"/>
        <v>0</v>
      </c>
      <c r="L52" s="201"/>
    </row>
    <row r="53" spans="3:16" ht="24" x14ac:dyDescent="0.3">
      <c r="C53" s="101"/>
      <c r="D53" s="112"/>
      <c r="E53" s="112">
        <f>'Quantity Calcs'!F53</f>
        <v>5.08</v>
      </c>
      <c r="F53" s="15" t="str">
        <f>'Quantity Calcs'!G53</f>
        <v xml:space="preserve">Mobilization of camp and supplies
</v>
      </c>
      <c r="G53" s="57" t="str">
        <f>'Quantity Calcs'!O53</f>
        <v>No Work</v>
      </c>
      <c r="H53" s="108" t="str">
        <f>'Quantity Calcs'!P53</f>
        <v>kg</v>
      </c>
      <c r="I53" s="109">
        <f>'Unit Rate Calcs'!P81</f>
        <v>0</v>
      </c>
      <c r="J53" s="110"/>
      <c r="K53" s="109">
        <f t="shared" si="1"/>
        <v>0</v>
      </c>
      <c r="L53" s="201"/>
      <c r="P53" s="36"/>
    </row>
    <row r="54" spans="3:16" ht="24" x14ac:dyDescent="0.3">
      <c r="C54" s="101"/>
      <c r="D54" s="112"/>
      <c r="E54" s="112" t="str">
        <f>'Quantity Calcs'!F54</f>
        <v>5.08a</v>
      </c>
      <c r="F54" s="15" t="str">
        <f>'Quantity Calcs'!G54</f>
        <v>Additional daily mobilization of workers if there is no site camp</v>
      </c>
      <c r="G54" s="57">
        <f>'Quantity Calcs'!O54</f>
        <v>0</v>
      </c>
      <c r="H54" s="108" t="str">
        <f>'Quantity Calcs'!P54</f>
        <v>days</v>
      </c>
      <c r="I54" s="109">
        <f>'Unit Rate Calcs'!P82</f>
        <v>0</v>
      </c>
      <c r="J54" s="110"/>
      <c r="K54" s="109">
        <f t="shared" ref="K54" si="2">SUM(G54:H54)*SUM(I54:J54)</f>
        <v>0</v>
      </c>
      <c r="L54" s="201"/>
      <c r="P54" s="36"/>
    </row>
    <row r="55" spans="3:16" x14ac:dyDescent="0.3">
      <c r="C55" s="101"/>
      <c r="D55" s="112"/>
      <c r="E55" s="112">
        <f>'Quantity Calcs'!F55</f>
        <v>5.09</v>
      </c>
      <c r="F55" s="15" t="str">
        <f>'Quantity Calcs'!G55</f>
        <v>Demobilization of workers (and operators)</v>
      </c>
      <c r="G55" s="57">
        <f>'Quantity Calcs'!O55</f>
        <v>990</v>
      </c>
      <c r="H55" s="108" t="str">
        <f>'Quantity Calcs'!P55</f>
        <v>kg</v>
      </c>
      <c r="I55" s="109">
        <f>'Unit Rate Calcs'!P83</f>
        <v>0</v>
      </c>
      <c r="J55" s="110"/>
      <c r="K55" s="109">
        <f t="shared" si="1"/>
        <v>0</v>
      </c>
      <c r="L55" s="201"/>
    </row>
    <row r="56" spans="3:16" x14ac:dyDescent="0.3">
      <c r="C56" s="101"/>
      <c r="D56" s="112"/>
      <c r="E56" s="112">
        <f>'Quantity Calcs'!F56</f>
        <v>5.0999999999999996</v>
      </c>
      <c r="F56" s="15" t="str">
        <f>'Quantity Calcs'!G56</f>
        <v>Demobilization of camp</v>
      </c>
      <c r="G56" s="57" t="str">
        <f>'Quantity Calcs'!O56</f>
        <v>No Work</v>
      </c>
      <c r="H56" s="108" t="str">
        <f>'Quantity Calcs'!P56</f>
        <v>kg</v>
      </c>
      <c r="I56" s="109">
        <f>'Unit Rate Calcs'!P84</f>
        <v>0</v>
      </c>
      <c r="J56" s="110"/>
      <c r="K56" s="109">
        <f t="shared" si="1"/>
        <v>0</v>
      </c>
      <c r="L56" s="201"/>
    </row>
    <row r="57" spans="3:16" x14ac:dyDescent="0.3">
      <c r="C57" s="101"/>
      <c r="D57" s="112"/>
      <c r="E57" s="112">
        <f>'Quantity Calcs'!F57</f>
        <v>5.1100000000000003</v>
      </c>
      <c r="F57" s="15" t="str">
        <f>'Quantity Calcs'!G57</f>
        <v>Contingency</v>
      </c>
      <c r="G57" s="84">
        <f>'Quantity Calcs'!O57</f>
        <v>0.1</v>
      </c>
      <c r="H57" s="108" t="str">
        <f>'Quantity Calcs'!P57</f>
        <v>%</v>
      </c>
      <c r="I57" s="109" t="str">
        <f>'Unit Rate Calcs'!P85</f>
        <v>n/a</v>
      </c>
      <c r="J57" s="110">
        <f>SUM(K51:K56)</f>
        <v>0</v>
      </c>
      <c r="K57" s="109">
        <f t="shared" si="1"/>
        <v>0</v>
      </c>
      <c r="L57" s="201"/>
    </row>
    <row r="58" spans="3:16" x14ac:dyDescent="0.3">
      <c r="C58" s="102"/>
      <c r="D58" s="103" t="str">
        <f>'Quantity Calcs'!E58</f>
        <v>c</v>
      </c>
      <c r="E58" s="103" t="str">
        <f>'Quantity Calcs'!F58</f>
        <v>Camp for the Reclamation Work</v>
      </c>
      <c r="F58" s="25"/>
      <c r="G58" s="104"/>
      <c r="H58" s="105"/>
      <c r="I58" s="106"/>
      <c r="J58" s="107"/>
      <c r="K58" s="106"/>
      <c r="L58" s="200">
        <f>SUM(K58:K61)</f>
        <v>0</v>
      </c>
    </row>
    <row r="59" spans="3:16" ht="48" x14ac:dyDescent="0.3">
      <c r="C59" s="101"/>
      <c r="D59" s="112"/>
      <c r="E59" s="112">
        <f>'Quantity Calcs'!F59</f>
        <v>5.12</v>
      </c>
      <c r="F59" s="15" t="str">
        <f>'Quantity Calcs'!G59</f>
        <v xml:space="preserve">Supply of reclamation camp
* or if less than 7 calculated working days - daily mobilization and demobilization of workers
</v>
      </c>
      <c r="G59" s="57" t="str">
        <f>'Quantity Calcs'!O59</f>
        <v>No Work</v>
      </c>
      <c r="H59" s="108" t="str">
        <f>'Quantity Calcs'!P59</f>
        <v>ea</v>
      </c>
      <c r="I59" s="109">
        <f>'Unit Rate Calcs'!P87</f>
        <v>0</v>
      </c>
      <c r="J59" s="110"/>
      <c r="K59" s="109">
        <f>SUM(G59:H59)*SUM(I59:J59)</f>
        <v>0</v>
      </c>
      <c r="L59" s="201"/>
    </row>
    <row r="60" spans="3:16" ht="24" x14ac:dyDescent="0.3">
      <c r="C60" s="101"/>
      <c r="D60" s="112"/>
      <c r="E60" s="112">
        <f>'Quantity Calcs'!F60</f>
        <v>5.13</v>
      </c>
      <c r="F60" s="15" t="str">
        <f>'Quantity Calcs'!G60</f>
        <v>Operation of reclamation camp/ accommodations and meals</v>
      </c>
      <c r="G60" s="57" t="str">
        <f>'Quantity Calcs'!O60</f>
        <v>No Work</v>
      </c>
      <c r="H60" s="108" t="str">
        <f>'Quantity Calcs'!P60</f>
        <v>persondays</v>
      </c>
      <c r="I60" s="109">
        <f>'Unit Rate Calcs'!P88</f>
        <v>75</v>
      </c>
      <c r="J60" s="110"/>
      <c r="K60" s="109">
        <f>SUM(G60:H60)*SUM(I60:J60)</f>
        <v>0</v>
      </c>
      <c r="L60" s="201"/>
    </row>
    <row r="61" spans="3:16" x14ac:dyDescent="0.3">
      <c r="C61" s="102"/>
      <c r="D61" s="103" t="str">
        <f>'Quantity Calcs'!E61</f>
        <v>d</v>
      </c>
      <c r="E61" s="103" t="str">
        <f>'Quantity Calcs'!F61</f>
        <v>Demobilization of Abandoned Equipment and Materials (+ Heavy Equipment mobilized for the Reclamation Work, if required)</v>
      </c>
      <c r="F61" s="25"/>
      <c r="G61" s="104"/>
      <c r="H61" s="105"/>
      <c r="I61" s="106"/>
      <c r="J61" s="107"/>
      <c r="K61" s="106"/>
      <c r="L61" s="200">
        <f>SUM(K61:K68)</f>
        <v>0</v>
      </c>
    </row>
    <row r="62" spans="3:16" x14ac:dyDescent="0.3">
      <c r="C62" s="101"/>
      <c r="D62" s="112"/>
      <c r="E62" s="112">
        <f>'Quantity Calcs'!F62</f>
        <v>5.14</v>
      </c>
      <c r="F62" s="15" t="str">
        <f>'Quantity Calcs'!G62</f>
        <v>Is the project an aircraft-access only mobilization?</v>
      </c>
      <c r="G62" s="57" t="str">
        <f>'Quantity Calcs'!O62</f>
        <v>No</v>
      </c>
      <c r="H62" s="108" t="str">
        <f>'Quantity Calcs'!P62</f>
        <v>Y/ N Trigger</v>
      </c>
      <c r="I62" s="109" t="str">
        <f>'Unit Rate Calcs'!P90</f>
        <v>n/a</v>
      </c>
      <c r="J62" s="110"/>
      <c r="K62" s="109">
        <f t="shared" ref="K62:K67" si="3">SUM(G62:H62)*SUM(I62:J62)</f>
        <v>0</v>
      </c>
      <c r="L62" s="201"/>
    </row>
    <row r="63" spans="3:16" x14ac:dyDescent="0.3">
      <c r="C63" s="101"/>
      <c r="D63" s="112"/>
      <c r="E63" s="112">
        <f>'Quantity Calcs'!F63</f>
        <v>5.15</v>
      </c>
      <c r="F63" s="15" t="str">
        <f>'Quantity Calcs'!G63</f>
        <v>Construction of winter road for demobilization</v>
      </c>
      <c r="G63" s="57" t="str">
        <f>'Quantity Calcs'!O63</f>
        <v>No Work</v>
      </c>
      <c r="H63" s="108" t="str">
        <f>'Quantity Calcs'!P63</f>
        <v>km</v>
      </c>
      <c r="I63" s="109">
        <f>'Unit Rate Calcs'!P91</f>
        <v>13000</v>
      </c>
      <c r="J63" s="110"/>
      <c r="K63" s="109">
        <f t="shared" si="3"/>
        <v>0</v>
      </c>
      <c r="L63" s="201"/>
    </row>
    <row r="64" spans="3:16" ht="24" x14ac:dyDescent="0.3">
      <c r="C64" s="101"/>
      <c r="D64" s="112"/>
      <c r="E64" s="112">
        <f>'Quantity Calcs'!F64</f>
        <v>5.16</v>
      </c>
      <c r="F64" s="15" t="str">
        <f>'Quantity Calcs'!G64</f>
        <v xml:space="preserve">Demobilization of abandoned camp&amp; equipment, debris and wastes </v>
      </c>
      <c r="G64" s="57">
        <f>'Quantity Calcs'!O64</f>
        <v>0</v>
      </c>
      <c r="H64" s="108" t="str">
        <f>'Quantity Calcs'!P64</f>
        <v>tonne</v>
      </c>
      <c r="I64" s="109">
        <f>'Unit Rate Calcs'!P92</f>
        <v>11.56</v>
      </c>
      <c r="J64" s="110"/>
      <c r="K64" s="109">
        <f t="shared" si="3"/>
        <v>0</v>
      </c>
      <c r="L64" s="201"/>
    </row>
    <row r="65" spans="3:12" ht="36" x14ac:dyDescent="0.3">
      <c r="C65" s="101"/>
      <c r="D65" s="112"/>
      <c r="E65" s="112">
        <f>'Quantity Calcs'!F65</f>
        <v>5.17</v>
      </c>
      <c r="F65" s="15" t="str">
        <f>'Quantity Calcs'!G65</f>
        <v xml:space="preserve">Demobilization of heavy equipment for reclamation, if mobilized
</v>
      </c>
      <c r="G65" s="57" t="str">
        <f>'Quantity Calcs'!O65</f>
        <v>No Work</v>
      </c>
      <c r="H65" s="108" t="str">
        <f>'Quantity Calcs'!P65</f>
        <v>tonnes</v>
      </c>
      <c r="I65" s="109">
        <f>'Unit Rate Calcs'!P93</f>
        <v>11.56</v>
      </c>
      <c r="J65" s="110"/>
      <c r="K65" s="109">
        <f t="shared" si="3"/>
        <v>0</v>
      </c>
      <c r="L65" s="201"/>
    </row>
    <row r="66" spans="3:12" x14ac:dyDescent="0.3">
      <c r="C66" s="101"/>
      <c r="D66" s="112"/>
      <c r="E66" s="112">
        <f>'Quantity Calcs'!F66</f>
        <v>5.18</v>
      </c>
      <c r="F66" s="15" t="str">
        <f>'Quantity Calcs'!G66</f>
        <v>Demobilization of reclamation fuel containers</v>
      </c>
      <c r="G66" s="57" t="str">
        <f>'Quantity Calcs'!O66</f>
        <v>No Work</v>
      </c>
      <c r="H66" s="108" t="str">
        <f>'Quantity Calcs'!P66</f>
        <v>tonnes</v>
      </c>
      <c r="I66" s="109">
        <f>'Unit Rate Calcs'!P94</f>
        <v>11.56</v>
      </c>
      <c r="J66" s="110"/>
      <c r="K66" s="109">
        <f t="shared" si="3"/>
        <v>0</v>
      </c>
      <c r="L66" s="201"/>
    </row>
    <row r="67" spans="3:12" x14ac:dyDescent="0.3">
      <c r="C67" s="101"/>
      <c r="D67" s="112"/>
      <c r="E67" s="112">
        <f>'Quantity Calcs'!F67</f>
        <v>5.19</v>
      </c>
      <c r="F67" s="15" t="str">
        <f>'Quantity Calcs'!G67</f>
        <v>Contingency</v>
      </c>
      <c r="G67" s="84">
        <f>'Quantity Calcs'!O67</f>
        <v>0.1</v>
      </c>
      <c r="H67" s="108" t="str">
        <f>'Quantity Calcs'!P67</f>
        <v>%</v>
      </c>
      <c r="I67" s="109" t="str">
        <f>'Unit Rate Calcs'!P95</f>
        <v>n/a</v>
      </c>
      <c r="J67" s="110">
        <f>SUM(K62:K66)</f>
        <v>0</v>
      </c>
      <c r="K67" s="109">
        <f t="shared" si="3"/>
        <v>0</v>
      </c>
      <c r="L67" s="201"/>
    </row>
    <row r="68" spans="3:12" x14ac:dyDescent="0.3">
      <c r="C68" s="98">
        <v>6</v>
      </c>
      <c r="D68" s="113" t="str">
        <f>'Quantity Calcs'!E68</f>
        <v>Development of Detailed Closure and Reclamation Plan (CRP)</v>
      </c>
      <c r="E68" s="113"/>
      <c r="F68" s="16"/>
      <c r="G68" s="99"/>
      <c r="H68" s="114"/>
      <c r="I68" s="115"/>
      <c r="J68" s="116"/>
      <c r="K68" s="115"/>
      <c r="L68" s="202">
        <f>SUM(K68:K75)</f>
        <v>0</v>
      </c>
    </row>
    <row r="69" spans="3:12" x14ac:dyDescent="0.3">
      <c r="C69" s="102"/>
      <c r="D69" s="103" t="str">
        <f>'Quantity Calcs'!E69</f>
        <v>a</v>
      </c>
      <c r="E69" s="103" t="str">
        <f>'Quantity Calcs'!F69</f>
        <v>Engagement Costs</v>
      </c>
      <c r="F69" s="25"/>
      <c r="G69" s="104"/>
      <c r="H69" s="105"/>
      <c r="I69" s="106"/>
      <c r="J69" s="107"/>
      <c r="K69" s="106"/>
      <c r="L69" s="200"/>
    </row>
    <row r="70" spans="3:12" x14ac:dyDescent="0.3">
      <c r="C70" s="101"/>
      <c r="D70" s="112"/>
      <c r="E70" s="112">
        <f>'Quantity Calcs'!F70</f>
        <v>6.01</v>
      </c>
      <c r="F70" s="15" t="str">
        <f>'Quantity Calcs'!G70</f>
        <v>Engagement Costs</v>
      </c>
      <c r="G70" s="57" t="str">
        <f>'Quantity Calcs'!O70</f>
        <v>No Work</v>
      </c>
      <c r="H70" s="108" t="str">
        <f>'Quantity Calcs'!P70</f>
        <v>cost</v>
      </c>
      <c r="I70" s="109">
        <f>'Unit Rate Calcs'!P98</f>
        <v>15000</v>
      </c>
      <c r="J70" s="110"/>
      <c r="K70" s="109">
        <f>SUM(G70:H70)*SUM(I70:J70)</f>
        <v>0</v>
      </c>
      <c r="L70" s="201"/>
    </row>
    <row r="71" spans="3:12" x14ac:dyDescent="0.3">
      <c r="C71" s="102"/>
      <c r="D71" s="103" t="str">
        <f>'Quantity Calcs'!E71</f>
        <v>b</v>
      </c>
      <c r="E71" s="103" t="str">
        <f>'Quantity Calcs'!F71</f>
        <v>Regulatory Compliance Costs</v>
      </c>
      <c r="F71" s="25"/>
      <c r="G71" s="104"/>
      <c r="H71" s="105"/>
      <c r="I71" s="106"/>
      <c r="J71" s="107"/>
      <c r="K71" s="106"/>
      <c r="L71" s="200"/>
    </row>
    <row r="72" spans="3:12" x14ac:dyDescent="0.3">
      <c r="C72" s="101"/>
      <c r="D72" s="112"/>
      <c r="E72" s="112">
        <f>'Quantity Calcs'!F72</f>
        <v>6.02</v>
      </c>
      <c r="F72" s="15" t="str">
        <f>'Quantity Calcs'!G72</f>
        <v>Regulatory Compliance Costs</v>
      </c>
      <c r="G72" s="57" t="str">
        <f>'Quantity Calcs'!O72</f>
        <v>No Work</v>
      </c>
      <c r="H72" s="108" t="str">
        <f>'Quantity Calcs'!P72</f>
        <v>cost</v>
      </c>
      <c r="I72" s="109">
        <f>'Unit Rate Calcs'!P100</f>
        <v>15000</v>
      </c>
      <c r="J72" s="110"/>
      <c r="K72" s="109">
        <f>SUM(G72:H72)*SUM(I72:J72)</f>
        <v>0</v>
      </c>
      <c r="L72" s="201"/>
    </row>
    <row r="73" spans="3:12" x14ac:dyDescent="0.3">
      <c r="C73" s="102"/>
      <c r="D73" s="103" t="str">
        <f>'Quantity Calcs'!E73</f>
        <v>c</v>
      </c>
      <c r="E73" s="103" t="str">
        <f>'Quantity Calcs'!F73</f>
        <v>Final Closure and Reclamation Plan</v>
      </c>
      <c r="F73" s="25"/>
      <c r="G73" s="104"/>
      <c r="H73" s="105"/>
      <c r="I73" s="106"/>
      <c r="J73" s="107"/>
      <c r="K73" s="106"/>
      <c r="L73" s="200"/>
    </row>
    <row r="74" spans="3:12" ht="24" x14ac:dyDescent="0.3">
      <c r="C74" s="101"/>
      <c r="D74" s="112"/>
      <c r="E74" s="112">
        <f>'Quantity Calcs'!F74</f>
        <v>6.03</v>
      </c>
      <c r="F74" s="15" t="str">
        <f>'Quantity Calcs'!G74</f>
        <v>Final Closure and Reclamation Plan (Engineering, Research)</v>
      </c>
      <c r="G74" s="57" t="str">
        <f>'Quantity Calcs'!O74</f>
        <v>No Work</v>
      </c>
      <c r="H74" s="108" t="str">
        <f>'Quantity Calcs'!P74</f>
        <v>cost</v>
      </c>
      <c r="I74" s="109">
        <f>'Unit Rate Calcs'!P102</f>
        <v>30000</v>
      </c>
      <c r="J74" s="110"/>
      <c r="K74" s="109">
        <f>SUM(G74:H74)*SUM(I74:J74)</f>
        <v>0</v>
      </c>
      <c r="L74" s="201"/>
    </row>
    <row r="75" spans="3:12" x14ac:dyDescent="0.3">
      <c r="C75" s="98">
        <v>7</v>
      </c>
      <c r="D75" s="113" t="str">
        <f>'Quantity Calcs'!E75</f>
        <v>Post-Closure Monitoring and Inspection</v>
      </c>
      <c r="E75" s="113"/>
      <c r="F75" s="16"/>
      <c r="G75" s="99"/>
      <c r="H75" s="114"/>
      <c r="I75" s="115"/>
      <c r="J75" s="116"/>
      <c r="K75" s="115"/>
      <c r="L75" s="202">
        <f>SUM(K75:K77)</f>
        <v>0</v>
      </c>
    </row>
    <row r="76" spans="3:12" ht="24" x14ac:dyDescent="0.3">
      <c r="C76" s="101"/>
      <c r="D76" s="112"/>
      <c r="E76" s="112">
        <f>'Quantity Calcs'!F76</f>
        <v>7.01</v>
      </c>
      <c r="F76" s="15" t="str">
        <f>'Quantity Calcs'!G76</f>
        <v>Monitoring and inspection</v>
      </c>
      <c r="G76" s="57" t="str">
        <f>'Quantity Calcs'!O76</f>
        <v>No Work</v>
      </c>
      <c r="H76" s="108" t="str">
        <f>'Quantity Calcs'!P76</f>
        <v>cost</v>
      </c>
      <c r="I76" s="109" t="str">
        <f>'Unit Rate Calcs'!P104</f>
        <v>Develop Work Specific Cost</v>
      </c>
      <c r="J76" s="110"/>
      <c r="K76" s="109">
        <f>SUM(G76:H76)*SUM(I76:J76)</f>
        <v>0</v>
      </c>
      <c r="L76" s="201"/>
    </row>
    <row r="77" spans="3:12" x14ac:dyDescent="0.3">
      <c r="C77" s="98">
        <v>8</v>
      </c>
      <c r="D77" s="113" t="str">
        <f>'Quantity Calcs'!E77</f>
        <v>Project Management</v>
      </c>
      <c r="E77" s="113"/>
      <c r="F77" s="16"/>
      <c r="G77" s="99"/>
      <c r="H77" s="114"/>
      <c r="I77" s="115"/>
      <c r="J77" s="116"/>
      <c r="K77" s="115"/>
      <c r="L77" s="202">
        <f>SUM(K77:K79)</f>
        <v>0</v>
      </c>
    </row>
    <row r="78" spans="3:12" ht="36" x14ac:dyDescent="0.3">
      <c r="C78" s="55"/>
      <c r="D78" s="56"/>
      <c r="E78" s="56">
        <f>'Quantity Calcs'!F78</f>
        <v>8.01</v>
      </c>
      <c r="F78" s="15" t="str">
        <f>'Quantity Calcs'!G78</f>
        <v xml:space="preserve">Project management for the  reclamation and closure work
</v>
      </c>
      <c r="G78" s="84">
        <f>'Quantity Calcs'!O78</f>
        <v>0.05</v>
      </c>
      <c r="H78" s="108" t="str">
        <f>'Quantity Calcs'!P78</f>
        <v xml:space="preserve"> </v>
      </c>
      <c r="I78" s="109" t="str">
        <f>'Unit Rate Calcs'!P106</f>
        <v>n/a</v>
      </c>
      <c r="J78" s="110">
        <f>$L$7</f>
        <v>0</v>
      </c>
      <c r="K78" s="109">
        <f>SUM(G78:H78)*SUM(I78:J78)</f>
        <v>0</v>
      </c>
      <c r="L78" s="201"/>
    </row>
    <row r="79" spans="3:12" x14ac:dyDescent="0.3">
      <c r="C79" s="98">
        <v>9</v>
      </c>
      <c r="D79" s="113" t="str">
        <f>'Quantity Calcs'!E79</f>
        <v>Health and Safety Plans/ Monitoring &amp; QA/QC</v>
      </c>
      <c r="E79" s="113"/>
      <c r="F79" s="16"/>
      <c r="G79" s="99"/>
      <c r="H79" s="114"/>
      <c r="I79" s="115"/>
      <c r="J79" s="116"/>
      <c r="K79" s="115"/>
      <c r="L79" s="202">
        <f>SUM(K79:K81)</f>
        <v>0</v>
      </c>
    </row>
    <row r="80" spans="3:12" ht="36" x14ac:dyDescent="0.3">
      <c r="C80" s="55"/>
      <c r="D80" s="56"/>
      <c r="E80" s="56">
        <f>'Quantity Calcs'!F80</f>
        <v>9.01</v>
      </c>
      <c r="F80" s="15" t="str">
        <f>'Quantity Calcs'!G80</f>
        <v xml:space="preserve">Health and safety &amp; QA/QC for the reclamation work
</v>
      </c>
      <c r="G80" s="84">
        <f>'Quantity Calcs'!O80</f>
        <v>0.01</v>
      </c>
      <c r="H80" s="108" t="str">
        <f>'Quantity Calcs'!P80</f>
        <v xml:space="preserve"> </v>
      </c>
      <c r="I80" s="109" t="str">
        <f>'Unit Rate Calcs'!P108</f>
        <v>n/a</v>
      </c>
      <c r="J80" s="110">
        <f>$L$7</f>
        <v>0</v>
      </c>
      <c r="K80" s="109">
        <f>SUM(G80:H80)*SUM(I80:J80)</f>
        <v>0</v>
      </c>
      <c r="L80" s="201"/>
    </row>
    <row r="81" spans="3:12" x14ac:dyDescent="0.3">
      <c r="C81" s="98">
        <v>10</v>
      </c>
      <c r="D81" s="113" t="str">
        <f>'Quantity Calcs'!E81</f>
        <v>Bonding/ Insurance</v>
      </c>
      <c r="E81" s="113"/>
      <c r="F81" s="16"/>
      <c r="G81" s="99"/>
      <c r="H81" s="114"/>
      <c r="I81" s="115"/>
      <c r="J81" s="116"/>
      <c r="K81" s="115"/>
      <c r="L81" s="202">
        <f>SUM(K81:K83)</f>
        <v>0</v>
      </c>
    </row>
    <row r="82" spans="3:12" x14ac:dyDescent="0.3">
      <c r="C82" s="55"/>
      <c r="D82" s="56"/>
      <c r="E82" s="56">
        <f>'Quantity Calcs'!F82</f>
        <v>10.01</v>
      </c>
      <c r="F82" s="18" t="str">
        <f>'Quantity Calcs'!G82</f>
        <v>Bonding percentage</v>
      </c>
      <c r="G82" s="84">
        <f>'Quantity Calcs'!O82</f>
        <v>0.01</v>
      </c>
      <c r="H82" s="108" t="str">
        <f>'Quantity Calcs'!P82</f>
        <v xml:space="preserve"> </v>
      </c>
      <c r="I82" s="109" t="str">
        <f>'Unit Rate Calcs'!P110</f>
        <v>n/a</v>
      </c>
      <c r="J82" s="110">
        <f>IF(L$7&gt;500000,L$7,0)</f>
        <v>0</v>
      </c>
      <c r="K82" s="109">
        <f>SUM(G82:H82)*SUM(I82:J82)</f>
        <v>0</v>
      </c>
      <c r="L82" s="201"/>
    </row>
    <row r="83" spans="3:12" x14ac:dyDescent="0.3">
      <c r="C83" s="98">
        <v>11</v>
      </c>
      <c r="D83" s="113" t="str">
        <f>'Quantity Calcs'!E83</f>
        <v>Contingency (e.g. quantity/ cost contingencies)</v>
      </c>
      <c r="E83" s="113"/>
      <c r="F83" s="16"/>
      <c r="G83" s="99"/>
      <c r="H83" s="114"/>
      <c r="I83" s="115"/>
      <c r="J83" s="116"/>
      <c r="K83" s="115"/>
      <c r="L83" s="202">
        <f>SUM(K83:K85)</f>
        <v>0</v>
      </c>
    </row>
    <row r="84" spans="3:12" x14ac:dyDescent="0.3">
      <c r="C84" s="101"/>
      <c r="D84" s="112"/>
      <c r="E84" s="112">
        <f>'Quantity Calcs'!F84</f>
        <v>11.01</v>
      </c>
      <c r="F84" s="15" t="str">
        <f>'Quantity Calcs'!G84</f>
        <v>Contingency for the reclamation work</v>
      </c>
      <c r="G84" s="84">
        <f>'Quantity Calcs'!O84</f>
        <v>0.15</v>
      </c>
      <c r="H84" s="108" t="str">
        <f>'Quantity Calcs'!P84</f>
        <v xml:space="preserve"> </v>
      </c>
      <c r="I84" s="109" t="str">
        <f>'Unit Rate Calcs'!P112</f>
        <v>n/a</v>
      </c>
      <c r="J84" s="110">
        <f>$L$7</f>
        <v>0</v>
      </c>
      <c r="K84" s="109">
        <f>SUM(G84:H84)*SUM(I84:J84)</f>
        <v>0</v>
      </c>
      <c r="L84" s="201"/>
    </row>
    <row r="85" spans="3:12" x14ac:dyDescent="0.3">
      <c r="C85" s="98">
        <v>12</v>
      </c>
      <c r="D85" s="113" t="str">
        <f>'Quantity Calcs'!E85</f>
        <v>Other Project Specific Costs</v>
      </c>
      <c r="E85" s="113"/>
      <c r="F85" s="16"/>
      <c r="G85" s="99"/>
      <c r="H85" s="114"/>
      <c r="I85" s="115"/>
      <c r="J85" s="116"/>
      <c r="K85" s="115"/>
      <c r="L85" s="202">
        <f>SUM(K85:K89)</f>
        <v>0</v>
      </c>
    </row>
    <row r="86" spans="3:12" ht="24" x14ac:dyDescent="0.3">
      <c r="C86" s="101"/>
      <c r="D86" s="112"/>
      <c r="E86" s="112">
        <f>'Quantity Calcs'!F86</f>
        <v>12.01</v>
      </c>
      <c r="F86" s="15" t="str">
        <f>'Quantity Calcs'!G86</f>
        <v>Other costs not already included in the Tool</v>
      </c>
      <c r="G86" s="57" t="str">
        <f>'Quantity Calcs'!O86</f>
        <v>No Work</v>
      </c>
      <c r="H86" s="108" t="str">
        <f>'Quantity Calcs'!P86</f>
        <v>cost</v>
      </c>
      <c r="I86" s="109" t="str">
        <f>'Unit Rate Calcs'!P114</f>
        <v>Develop Work Specific Cost</v>
      </c>
      <c r="J86" s="110">
        <f>$L$7</f>
        <v>0</v>
      </c>
      <c r="K86" s="109">
        <f>SUM(G86:H86)*SUM(I86:J86)</f>
        <v>0</v>
      </c>
      <c r="L86" s="201"/>
    </row>
    <row r="87" spans="3:12" x14ac:dyDescent="0.3">
      <c r="C87" s="101">
        <v>101</v>
      </c>
      <c r="D87" s="112" t="s">
        <v>359</v>
      </c>
      <c r="E87" s="112"/>
      <c r="F87" s="15"/>
      <c r="G87" s="57"/>
      <c r="H87" s="108"/>
      <c r="I87" s="109"/>
      <c r="J87" s="110"/>
      <c r="K87" s="109"/>
      <c r="L87" s="201"/>
    </row>
    <row r="88" spans="3:12" ht="24" x14ac:dyDescent="0.3">
      <c r="C88" s="101"/>
      <c r="D88" s="112"/>
      <c r="E88" s="112">
        <v>101.01</v>
      </c>
      <c r="F88" s="15" t="s">
        <v>360</v>
      </c>
      <c r="G88" s="57"/>
      <c r="H88" s="108"/>
      <c r="I88" s="109"/>
      <c r="J88" s="110"/>
      <c r="K88" s="109">
        <f>-'Costing Questions'!G42</f>
        <v>0</v>
      </c>
      <c r="L88" s="201"/>
    </row>
    <row r="89" spans="3:12" x14ac:dyDescent="0.3">
      <c r="C89" s="101" t="s">
        <v>94</v>
      </c>
      <c r="D89" s="112"/>
      <c r="E89" s="112"/>
      <c r="F89" s="15"/>
      <c r="G89" s="57"/>
      <c r="H89" s="108"/>
      <c r="I89" s="109"/>
      <c r="J89" s="110"/>
      <c r="K89" s="109"/>
      <c r="L89" s="201"/>
    </row>
  </sheetData>
  <sheetProtection sheet="1" objects="1" scenarios="1"/>
  <conditionalFormatting sqref="C7:L89">
    <cfRule type="expression" dxfId="72" priority="63">
      <formula>OR($G7="No",$G7="No Work")</formula>
    </cfRule>
    <cfRule type="expression" dxfId="71" priority="64">
      <formula>NOT(ISBLANK($F7))</formula>
    </cfRule>
    <cfRule type="expression" dxfId="70" priority="65">
      <formula>ISNUMBER($C7)</formula>
    </cfRule>
    <cfRule type="expression" dxfId="69" priority="66">
      <formula>AND(ISBLANK($C7),ISTEXT($D7))</formula>
    </cfRule>
  </conditionalFormatting>
  <pageMargins left="0.31496062992125984" right="0.31496062992125984" top="0.74803149606299213" bottom="0.55118110236220474" header="0.31496062992125984" footer="0.31496062992125984"/>
  <pageSetup scale="79" fitToHeight="12" orientation="portrait" horizontalDpi="1200" verticalDpi="1200" r:id="rId1"/>
  <headerFooter>
    <oddHeader>&amp;R&amp;K00-026Mackenzie Valley Land-Use Security Estimate Tool</oddHeader>
    <oddFooter>&amp;C&amp;K00-033BCL/ DXB&amp;R&amp;K00-033Page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A22FE-A89D-45AE-81F3-36F331EC6BCA}">
  <sheetPr codeName="Sheet5">
    <tabColor theme="0" tint="-0.249977111117893"/>
    <pageSetUpPr fitToPage="1"/>
  </sheetPr>
  <dimension ref="A1:U87"/>
  <sheetViews>
    <sheetView zoomScaleNormal="100" workbookViewId="0">
      <pane xSplit="8" ySplit="8" topLeftCell="I58" activePane="bottomRight" state="frozen"/>
      <selection activeCell="H5" sqref="H5"/>
      <selection pane="topRight" activeCell="H5" sqref="H5"/>
      <selection pane="bottomLeft" activeCell="H5" sqref="H5"/>
      <selection pane="bottomRight"/>
    </sheetView>
  </sheetViews>
  <sheetFormatPr defaultColWidth="8.77734375" defaultRowHeight="18" outlineLevelRow="1" outlineLevelCol="1" x14ac:dyDescent="0.3"/>
  <cols>
    <col min="1" max="1" width="1.6640625" style="8" customWidth="1"/>
    <col min="2" max="2" width="3.6640625" style="32" customWidth="1"/>
    <col min="3" max="3" width="6.6640625" style="2" customWidth="1"/>
    <col min="4" max="5" width="8.6640625" style="1" customWidth="1"/>
    <col min="6" max="6" width="6.6640625" style="1" customWidth="1"/>
    <col min="7" max="7" width="36.6640625" style="3" customWidth="1"/>
    <col min="8" max="8" width="36.6640625" style="3" customWidth="1" outlineLevel="1"/>
    <col min="9" max="9" width="1.6640625" customWidth="1"/>
    <col min="10" max="11" width="12.6640625" style="3" customWidth="1"/>
    <col min="12" max="13" width="12.6640625" style="6" customWidth="1"/>
    <col min="14" max="14" width="1.6640625" style="6" customWidth="1"/>
    <col min="15" max="15" width="12.6640625" style="7" customWidth="1"/>
    <col min="16" max="16" width="12.6640625" style="1" customWidth="1"/>
    <col min="17" max="18" width="1.6640625" style="1" customWidth="1" outlineLevel="1"/>
    <col min="19" max="19" width="24.6640625" style="1" customWidth="1" outlineLevel="1"/>
    <col min="20" max="21" width="12.6640625" style="1" customWidth="1" outlineLevel="1"/>
    <col min="22" max="16384" width="8.77734375" style="1"/>
  </cols>
  <sheetData>
    <row r="1" spans="1:21" x14ac:dyDescent="0.3">
      <c r="A1" s="295" t="str">
        <f>'Costing Questions'!A1</f>
        <v>Security Estimate Tool - DRAFT 3 - Blank</v>
      </c>
    </row>
    <row r="3" spans="1:21" outlineLevel="1" x14ac:dyDescent="0.3">
      <c r="C3" s="123" t="s">
        <v>145</v>
      </c>
    </row>
    <row r="4" spans="1:21" outlineLevel="1" x14ac:dyDescent="0.3">
      <c r="B4" s="237"/>
      <c r="C4" s="9" t="s">
        <v>26</v>
      </c>
    </row>
    <row r="5" spans="1:21" outlineLevel="1" x14ac:dyDescent="0.3">
      <c r="B5" s="262"/>
      <c r="C5" s="9" t="s">
        <v>42</v>
      </c>
    </row>
    <row r="6" spans="1:21" outlineLevel="1" x14ac:dyDescent="0.3">
      <c r="B6" s="238"/>
      <c r="C6" s="9" t="s">
        <v>266</v>
      </c>
    </row>
    <row r="8" spans="1:21" s="13" customFormat="1" ht="39" customHeight="1" x14ac:dyDescent="0.3">
      <c r="A8" s="11"/>
      <c r="B8" s="33"/>
      <c r="C8" s="209" t="s">
        <v>10</v>
      </c>
      <c r="D8" s="209" t="s">
        <v>209</v>
      </c>
      <c r="E8" s="209" t="s">
        <v>208</v>
      </c>
      <c r="F8" s="209" t="s">
        <v>210</v>
      </c>
      <c r="G8" s="209" t="s">
        <v>22</v>
      </c>
      <c r="H8" s="209" t="s">
        <v>72</v>
      </c>
      <c r="I8" s="44" t="s">
        <v>0</v>
      </c>
      <c r="J8" s="209" t="s">
        <v>88</v>
      </c>
      <c r="K8" s="209" t="s">
        <v>130</v>
      </c>
      <c r="L8" s="210" t="s">
        <v>131</v>
      </c>
      <c r="M8" s="210" t="s">
        <v>132</v>
      </c>
      <c r="N8" s="45" t="s">
        <v>69</v>
      </c>
      <c r="O8" s="210" t="s">
        <v>68</v>
      </c>
      <c r="P8" s="210" t="s">
        <v>3</v>
      </c>
      <c r="Q8" s="288" t="s">
        <v>143</v>
      </c>
      <c r="R8" s="289" t="s">
        <v>343</v>
      </c>
      <c r="S8" s="210" t="s">
        <v>101</v>
      </c>
      <c r="T8" s="210" t="s">
        <v>102</v>
      </c>
      <c r="U8" s="210" t="s">
        <v>178</v>
      </c>
    </row>
    <row r="9" spans="1:21" x14ac:dyDescent="0.25">
      <c r="C9" s="215">
        <v>1</v>
      </c>
      <c r="D9" s="228">
        <v>1</v>
      </c>
      <c r="E9" s="229" t="s">
        <v>50</v>
      </c>
      <c r="F9" s="229"/>
      <c r="G9" s="214"/>
      <c r="H9" s="214"/>
      <c r="I9" s="49"/>
      <c r="J9" s="214"/>
      <c r="K9" s="216"/>
      <c r="L9" s="239"/>
      <c r="M9" s="213"/>
      <c r="N9" s="53"/>
      <c r="O9" s="213"/>
      <c r="P9" s="213"/>
      <c r="Q9" s="290"/>
      <c r="R9" s="291"/>
      <c r="S9" s="240"/>
      <c r="T9" s="213"/>
      <c r="U9" s="213"/>
    </row>
    <row r="10" spans="1:21" x14ac:dyDescent="0.25">
      <c r="C10" s="54">
        <v>2</v>
      </c>
      <c r="D10" s="55"/>
      <c r="E10" s="56" t="s">
        <v>11</v>
      </c>
      <c r="F10" s="56" t="s">
        <v>50</v>
      </c>
      <c r="G10" s="18"/>
      <c r="H10" s="18"/>
      <c r="I10" s="49"/>
      <c r="J10" s="18"/>
      <c r="K10" s="57"/>
      <c r="L10" s="58"/>
      <c r="M10" s="57"/>
      <c r="N10" s="53"/>
      <c r="O10" s="57"/>
      <c r="P10" s="57"/>
      <c r="Q10" s="290"/>
      <c r="R10" s="291"/>
      <c r="S10" s="41"/>
      <c r="T10" s="57"/>
      <c r="U10" s="57"/>
    </row>
    <row r="11" spans="1:21" ht="60" x14ac:dyDescent="0.25">
      <c r="C11" s="54">
        <v>3</v>
      </c>
      <c r="D11" s="55"/>
      <c r="E11" s="56"/>
      <c r="F11" s="56">
        <v>1.01</v>
      </c>
      <c r="G11" s="18" t="s">
        <v>299</v>
      </c>
      <c r="H11" s="18" t="s">
        <v>285</v>
      </c>
      <c r="I11" s="49"/>
      <c r="J11" s="18" t="str">
        <f>"Input ID #"&amp;'Costing Questions'!C19&amp;":
Is land restoration required?"</f>
        <v>Input ID #4:
Is land restoration required?</v>
      </c>
      <c r="K11" s="59">
        <f>'Costing Questions'!G19</f>
        <v>0</v>
      </c>
      <c r="L11" s="57" t="s">
        <v>23</v>
      </c>
      <c r="M11" s="57" t="s">
        <v>24</v>
      </c>
      <c r="N11" s="53"/>
      <c r="O11" s="57" t="str">
        <f>IF(Q_TBL[[#This Row],[Variable1]]="Yes",Q_TBL[[#This Row],[Variable2]],Q_TBL[[#This Row],[Variable3]])</f>
        <v>No</v>
      </c>
      <c r="P11" s="57" t="s">
        <v>76</v>
      </c>
      <c r="Q11" s="290"/>
      <c r="R11" s="291"/>
      <c r="S11" s="41"/>
      <c r="T11" s="57"/>
      <c r="U11" s="57"/>
    </row>
    <row r="12" spans="1:21" ht="120" x14ac:dyDescent="0.25">
      <c r="C12" s="54">
        <v>4</v>
      </c>
      <c r="D12" s="55"/>
      <c r="E12" s="56"/>
      <c r="F12" s="56">
        <v>1.02</v>
      </c>
      <c r="G12" s="18" t="s">
        <v>286</v>
      </c>
      <c r="H12" s="18" t="s">
        <v>230</v>
      </c>
      <c r="I12" s="49"/>
      <c r="J12" s="18" t="str">
        <f>"Input ID #"&amp;'Costing Questions'!C20&amp;":
Total area of disturbed land"</f>
        <v>Input ID #5:
Total area of disturbed land</v>
      </c>
      <c r="K12" s="60" t="str">
        <f>O$11</f>
        <v>No</v>
      </c>
      <c r="L12" s="61">
        <f>'Costing Questions'!G20</f>
        <v>0</v>
      </c>
      <c r="M12" s="60" t="s">
        <v>78</v>
      </c>
      <c r="N12" s="53"/>
      <c r="O12" s="57" t="str">
        <f>IF(Q_TBL[[#This Row],[Variable1]]="Yes",Q_TBL[[#This Row],[Variable2]],Q_TBL[[#This Row],[Variable3]])</f>
        <v>No Work</v>
      </c>
      <c r="P12" s="57" t="s">
        <v>36</v>
      </c>
      <c r="Q12" s="290"/>
      <c r="R12" s="291"/>
      <c r="S12" s="41" t="s">
        <v>106</v>
      </c>
      <c r="T12" s="57">
        <v>1.9</v>
      </c>
      <c r="U12" s="57">
        <f>IF(ISNUMBER(Q_TBL[[#This Row],[Quantity]]),Q_TBL[[#This Row],[Quantity]]/Q_TBL[[#This Row],[Production - units/ crewday]],0)</f>
        <v>0</v>
      </c>
    </row>
    <row r="13" spans="1:21" ht="96" x14ac:dyDescent="0.25">
      <c r="C13" s="54">
        <v>5</v>
      </c>
      <c r="D13" s="55"/>
      <c r="E13" s="56"/>
      <c r="F13" s="56">
        <v>1.03</v>
      </c>
      <c r="G13" s="18" t="s">
        <v>85</v>
      </c>
      <c r="H13" s="18" t="s">
        <v>233</v>
      </c>
      <c r="I13" s="49"/>
      <c r="J13" s="18"/>
      <c r="K13" s="60" t="str">
        <f t="shared" ref="K13:K15" si="0">O$11</f>
        <v>No</v>
      </c>
      <c r="L13" s="62">
        <f>L12*10000*0.25</f>
        <v>0</v>
      </c>
      <c r="M13" s="63">
        <v>0.15</v>
      </c>
      <c r="N13" s="64"/>
      <c r="O13" s="57" t="str">
        <f>IF(Q_TBL[[#This Row],[Variable1]]="Yes",PRODUCT(Q_TBL[[#This Row],[Variable2]:[Variable3]]),M12)</f>
        <v>No Work</v>
      </c>
      <c r="P13" s="57" t="s">
        <v>38</v>
      </c>
      <c r="Q13" s="290"/>
      <c r="R13" s="291"/>
      <c r="S13" s="41" t="s">
        <v>114</v>
      </c>
      <c r="T13" s="57">
        <v>880</v>
      </c>
      <c r="U13" s="57">
        <f>IF(ISNUMBER(Q_TBL[[#This Row],[Quantity]]),Q_TBL[[#This Row],[Quantity]]/Q_TBL[[#This Row],[Production - units/ crewday]],0)</f>
        <v>0</v>
      </c>
    </row>
    <row r="14" spans="1:21" ht="36" x14ac:dyDescent="0.25">
      <c r="C14" s="54">
        <v>6</v>
      </c>
      <c r="D14" s="55"/>
      <c r="E14" s="56"/>
      <c r="F14" s="56">
        <v>1.04</v>
      </c>
      <c r="G14" s="18" t="s">
        <v>224</v>
      </c>
      <c r="H14" s="18" t="s">
        <v>45</v>
      </c>
      <c r="I14" s="49"/>
      <c r="J14" s="18"/>
      <c r="K14" s="60" t="str">
        <f t="shared" si="0"/>
        <v>No</v>
      </c>
      <c r="L14" s="65">
        <f>L13/10000</f>
        <v>0</v>
      </c>
      <c r="M14" s="60"/>
      <c r="N14" s="66"/>
      <c r="O14" s="57" t="str">
        <f>IF(Q_TBL[[#This Row],[Variable1]]="Yes",Q_TBL[[#This Row],[Variable2]],M12)</f>
        <v>No Work</v>
      </c>
      <c r="P14" s="57" t="s">
        <v>36</v>
      </c>
      <c r="Q14" s="290"/>
      <c r="R14" s="291"/>
      <c r="S14" s="41" t="s">
        <v>115</v>
      </c>
      <c r="T14" s="57">
        <v>2</v>
      </c>
      <c r="U14" s="57">
        <f>IF(ISNUMBER(Q_TBL[[#This Row],[Quantity]]),Q_TBL[[#This Row],[Quantity]]/Q_TBL[[#This Row],[Production - units/ crewday]],0)</f>
        <v>0</v>
      </c>
    </row>
    <row r="15" spans="1:21" ht="36" x14ac:dyDescent="0.3">
      <c r="C15" s="54">
        <v>7</v>
      </c>
      <c r="D15" s="55"/>
      <c r="E15" s="56"/>
      <c r="F15" s="56">
        <v>1.05</v>
      </c>
      <c r="G15" s="18" t="s">
        <v>225</v>
      </c>
      <c r="H15" s="18" t="s">
        <v>86</v>
      </c>
      <c r="I15" s="39"/>
      <c r="J15" s="18"/>
      <c r="K15" s="60" t="str">
        <f t="shared" si="0"/>
        <v>No</v>
      </c>
      <c r="L15" s="65">
        <f>L13/10000</f>
        <v>0</v>
      </c>
      <c r="M15" s="60"/>
      <c r="N15" s="53"/>
      <c r="O15" s="57" t="str">
        <f>IF(Q_TBL[[#This Row],[Variable1]]="Yes",Q_TBL[[#This Row],[Variable2]],M12)</f>
        <v>No Work</v>
      </c>
      <c r="P15" s="57" t="s">
        <v>36</v>
      </c>
      <c r="Q15" s="290"/>
      <c r="R15" s="291"/>
      <c r="S15" s="41" t="s">
        <v>115</v>
      </c>
      <c r="T15" s="57">
        <v>2</v>
      </c>
      <c r="U15" s="57">
        <f>IF(ISNUMBER(Q_TBL[[#This Row],[Quantity]]),Q_TBL[[#This Row],[Quantity]]/Q_TBL[[#This Row],[Production - units/ crewday]],0)</f>
        <v>0</v>
      </c>
    </row>
    <row r="16" spans="1:21" x14ac:dyDescent="0.25">
      <c r="C16" s="217">
        <v>8</v>
      </c>
      <c r="D16" s="55">
        <v>2</v>
      </c>
      <c r="E16" s="56" t="str">
        <f>"Removal of Abandoned Equipment and Buildings (Demobilization component in Section "&amp;D43&amp;")"</f>
        <v>Removal of Abandoned Equipment and Buildings (Demobilization component in Section 5)</v>
      </c>
      <c r="F16" s="56"/>
      <c r="G16" s="18"/>
      <c r="H16" s="18"/>
      <c r="I16" s="49"/>
      <c r="J16" s="18"/>
      <c r="K16" s="57"/>
      <c r="L16" s="58"/>
      <c r="M16" s="57"/>
      <c r="N16" s="53"/>
      <c r="O16" s="57"/>
      <c r="P16" s="57"/>
      <c r="Q16" s="290"/>
      <c r="R16" s="291"/>
      <c r="S16" s="41"/>
      <c r="T16" s="57"/>
      <c r="U16" s="57"/>
    </row>
    <row r="17" spans="3:21" x14ac:dyDescent="0.25">
      <c r="C17" s="54">
        <v>9</v>
      </c>
      <c r="D17" s="55"/>
      <c r="E17" s="56" t="s">
        <v>11</v>
      </c>
      <c r="F17" s="56" t="s">
        <v>70</v>
      </c>
      <c r="G17" s="18"/>
      <c r="H17" s="18"/>
      <c r="I17" s="49"/>
      <c r="J17" s="18"/>
      <c r="K17" s="57"/>
      <c r="L17" s="58"/>
      <c r="M17" s="57"/>
      <c r="N17" s="53"/>
      <c r="O17" s="57"/>
      <c r="P17" s="57"/>
      <c r="Q17" s="290"/>
      <c r="R17" s="291"/>
      <c r="S17" s="41"/>
      <c r="T17" s="57"/>
      <c r="U17" s="57"/>
    </row>
    <row r="18" spans="3:21" ht="72" x14ac:dyDescent="0.25">
      <c r="C18" s="54">
        <v>10</v>
      </c>
      <c r="D18" s="55"/>
      <c r="E18" s="56"/>
      <c r="F18" s="56">
        <v>2.0099999999999998</v>
      </c>
      <c r="G18" s="18" t="s">
        <v>226</v>
      </c>
      <c r="H18" s="18" t="s">
        <v>232</v>
      </c>
      <c r="I18" s="49"/>
      <c r="J18" s="22" t="str">
        <f>"Input ID #"&amp;'Costing Questions'!C29&amp;":
Total number of work-equipment
"</f>
        <v xml:space="preserve">Input ID #11:
Total number of work-equipment
</v>
      </c>
      <c r="K18" s="59">
        <f>'Costing Questions'!G29</f>
        <v>0</v>
      </c>
      <c r="L18" s="67"/>
      <c r="M18" s="60"/>
      <c r="N18" s="53"/>
      <c r="O18" s="57">
        <f>Q_TBL[[#This Row],[Variable1]]</f>
        <v>0</v>
      </c>
      <c r="P18" s="57" t="s">
        <v>35</v>
      </c>
      <c r="Q18" s="290"/>
      <c r="R18" s="291"/>
      <c r="S18" s="41" t="s">
        <v>116</v>
      </c>
      <c r="T18" s="57">
        <v>44</v>
      </c>
      <c r="U18" s="57">
        <f>Q_TBL[[#This Row],[Quantity]]/Q_TBL[[#This Row],[Production - units/ crewday]]</f>
        <v>0</v>
      </c>
    </row>
    <row r="19" spans="3:21" x14ac:dyDescent="0.25">
      <c r="C19" s="54">
        <v>11</v>
      </c>
      <c r="D19" s="55"/>
      <c r="E19" s="56" t="s">
        <v>12</v>
      </c>
      <c r="F19" s="56" t="s">
        <v>71</v>
      </c>
      <c r="G19" s="18"/>
      <c r="H19" s="18"/>
      <c r="I19" s="49"/>
      <c r="J19" s="18"/>
      <c r="K19" s="57"/>
      <c r="L19" s="58"/>
      <c r="M19" s="57"/>
      <c r="N19" s="53"/>
      <c r="O19" s="57"/>
      <c r="P19" s="57"/>
      <c r="Q19" s="290"/>
      <c r="R19" s="291"/>
      <c r="S19" s="41"/>
      <c r="T19" s="57"/>
      <c r="U19" s="57"/>
    </row>
    <row r="20" spans="3:21" ht="60" x14ac:dyDescent="0.25">
      <c r="C20" s="54">
        <v>12</v>
      </c>
      <c r="D20" s="55"/>
      <c r="E20" s="56"/>
      <c r="F20" s="56">
        <v>2.0199999999999996</v>
      </c>
      <c r="G20" s="18" t="s">
        <v>227</v>
      </c>
      <c r="H20" s="18" t="s">
        <v>74</v>
      </c>
      <c r="I20" s="49"/>
      <c r="J20" s="18" t="str">
        <f>"Input ID #"&amp;'Costing Questions'!C20&amp;":
Total area of disturbed land
"</f>
        <v xml:space="preserve">Input ID #5:
Total area of disturbed land
</v>
      </c>
      <c r="K20" s="61">
        <f>'Costing Questions'!G20</f>
        <v>0</v>
      </c>
      <c r="L20" s="67"/>
      <c r="M20" s="60"/>
      <c r="N20" s="53"/>
      <c r="O20" s="57">
        <f>Q_TBL[[#This Row],[Variable1]]</f>
        <v>0</v>
      </c>
      <c r="P20" s="57" t="s">
        <v>36</v>
      </c>
      <c r="Q20" s="290"/>
      <c r="R20" s="291"/>
      <c r="S20" s="41" t="s">
        <v>117</v>
      </c>
      <c r="T20" s="57">
        <v>4</v>
      </c>
      <c r="U20" s="57">
        <f>Q_TBL[[#This Row],[Quantity]]/Q_TBL[[#This Row],[Production - units/ crewday]]</f>
        <v>0</v>
      </c>
    </row>
    <row r="21" spans="3:21" ht="60" x14ac:dyDescent="0.25">
      <c r="C21" s="54">
        <v>13</v>
      </c>
      <c r="D21" s="55"/>
      <c r="E21" s="56"/>
      <c r="F21" s="56">
        <v>2.0299999999999994</v>
      </c>
      <c r="G21" s="18" t="s">
        <v>228</v>
      </c>
      <c r="H21" s="18" t="s">
        <v>231</v>
      </c>
      <c r="I21" s="49"/>
      <c r="J21" s="22" t="str">
        <f>"Input ID #"&amp;'Costing Questions'!C22&amp;":
Total area of all buildings, in m2
"</f>
        <v xml:space="preserve">Input ID #6:
Total area of all buildings, in m2
</v>
      </c>
      <c r="K21" s="263">
        <f>'Costing Questions'!G22</f>
        <v>0</v>
      </c>
      <c r="L21" s="67"/>
      <c r="M21" s="60"/>
      <c r="N21" s="53"/>
      <c r="O21" s="57">
        <f>ROUND(Q_TBL[[#This Row],[Variable1]],0)</f>
        <v>0</v>
      </c>
      <c r="P21" s="57" t="s">
        <v>33</v>
      </c>
      <c r="Q21" s="290"/>
      <c r="R21" s="291"/>
      <c r="S21" s="41" t="s">
        <v>105</v>
      </c>
      <c r="T21" s="57">
        <v>80</v>
      </c>
      <c r="U21" s="57">
        <f>Q_TBL[[#This Row],[Quantity]]/Q_TBL[[#This Row],[Production - units/ crewday]]</f>
        <v>0</v>
      </c>
    </row>
    <row r="22" spans="3:21" x14ac:dyDescent="0.25">
      <c r="C22" s="54">
        <v>14</v>
      </c>
      <c r="D22" s="55"/>
      <c r="E22" s="56" t="s">
        <v>13</v>
      </c>
      <c r="F22" s="56" t="s">
        <v>27</v>
      </c>
      <c r="G22" s="18"/>
      <c r="H22" s="18"/>
      <c r="I22" s="49"/>
      <c r="J22" s="18"/>
      <c r="K22" s="57"/>
      <c r="L22" s="58"/>
      <c r="M22" s="57"/>
      <c r="N22" s="53"/>
      <c r="O22" s="57"/>
      <c r="P22" s="57"/>
      <c r="Q22" s="290"/>
      <c r="R22" s="291"/>
      <c r="S22" s="41"/>
      <c r="T22" s="57"/>
      <c r="U22" s="57"/>
    </row>
    <row r="23" spans="3:21" ht="84" x14ac:dyDescent="0.25">
      <c r="C23" s="54">
        <v>15</v>
      </c>
      <c r="D23" s="55"/>
      <c r="E23" s="56"/>
      <c r="F23" s="56">
        <v>2.04</v>
      </c>
      <c r="G23" s="18" t="s">
        <v>287</v>
      </c>
      <c r="H23" s="18" t="s">
        <v>234</v>
      </c>
      <c r="I23" s="49"/>
      <c r="J23" s="22" t="str">
        <f>"Input ID #"&amp;'Costing Questions'!C23&amp;" &amp; #"&amp;'Costing Questions'!C30&amp;":
Total Camp and Equipment weight, in t
"</f>
        <v xml:space="preserve">Input ID #7 &amp; #12:
Total Camp and Equipment weight, in t
</v>
      </c>
      <c r="K23" s="264">
        <f>'Costing Questions'!G23</f>
        <v>0</v>
      </c>
      <c r="L23" s="265">
        <f>'Costing Questions'!G30</f>
        <v>0</v>
      </c>
      <c r="M23" s="60"/>
      <c r="N23" s="53"/>
      <c r="O23" s="57">
        <f>SUM(Q_TBL[[#This Row],[Variable1]:[Variable2]])</f>
        <v>0</v>
      </c>
      <c r="P23" s="57" t="s">
        <v>31</v>
      </c>
      <c r="Q23" s="290"/>
      <c r="R23" s="291"/>
      <c r="S23" s="41"/>
      <c r="T23" s="57"/>
      <c r="U23" s="57"/>
    </row>
    <row r="24" spans="3:21" ht="84" x14ac:dyDescent="0.25">
      <c r="C24" s="54">
        <v>16</v>
      </c>
      <c r="D24" s="55"/>
      <c r="E24" s="56"/>
      <c r="F24" s="56">
        <v>2.0499999999999998</v>
      </c>
      <c r="G24" s="18" t="s">
        <v>25</v>
      </c>
      <c r="H24" s="18" t="s">
        <v>75</v>
      </c>
      <c r="I24" s="49"/>
      <c r="J24" s="22" t="str">
        <f>"Input ID #"&amp;'Costing Questions'!C23&amp;" &amp; #"&amp;'Costing Questions'!C30&amp;":
Total Camp and Equipment weight, in t
"</f>
        <v xml:space="preserve">Input ID #7 &amp; #12:
Total Camp and Equipment weight, in t
</v>
      </c>
      <c r="K24" s="264">
        <f>'Costing Questions'!G23</f>
        <v>0</v>
      </c>
      <c r="L24" s="265">
        <f>'Costing Questions'!G30</f>
        <v>0</v>
      </c>
      <c r="M24" s="60"/>
      <c r="N24" s="53"/>
      <c r="O24" s="57">
        <f>SUM(Q_TBL[[#This Row],[Variable1]:[Variable2]])</f>
        <v>0</v>
      </c>
      <c r="P24" s="57" t="s">
        <v>31</v>
      </c>
      <c r="Q24" s="290"/>
      <c r="R24" s="291"/>
      <c r="S24" s="41"/>
      <c r="T24" s="57"/>
      <c r="U24" s="57"/>
    </row>
    <row r="25" spans="3:21" x14ac:dyDescent="0.25">
      <c r="C25" s="54">
        <v>17</v>
      </c>
      <c r="D25" s="55">
        <v>3</v>
      </c>
      <c r="E25" s="56" t="str">
        <f>"Management of Hazardous Materials and Contaminated Soil (Demobilization component in Section "&amp;D43&amp;")"</f>
        <v>Management of Hazardous Materials and Contaminated Soil (Demobilization component in Section 5)</v>
      </c>
      <c r="F25" s="56"/>
      <c r="G25" s="18"/>
      <c r="H25" s="18"/>
      <c r="I25" s="49"/>
      <c r="J25" s="18"/>
      <c r="K25" s="57"/>
      <c r="L25" s="58"/>
      <c r="M25" s="57"/>
      <c r="N25" s="53"/>
      <c r="O25" s="57"/>
      <c r="P25" s="57"/>
      <c r="Q25" s="290"/>
      <c r="R25" s="291"/>
      <c r="S25" s="41"/>
      <c r="T25" s="57"/>
      <c r="U25" s="57"/>
    </row>
    <row r="26" spans="3:21" x14ac:dyDescent="0.25">
      <c r="C26" s="54">
        <v>18</v>
      </c>
      <c r="D26" s="55"/>
      <c r="E26" s="56" t="s">
        <v>11</v>
      </c>
      <c r="F26" s="56" t="s">
        <v>333</v>
      </c>
      <c r="G26" s="18"/>
      <c r="H26" s="18"/>
      <c r="I26" s="49"/>
      <c r="J26" s="18"/>
      <c r="K26" s="57"/>
      <c r="L26" s="58"/>
      <c r="M26" s="57"/>
      <c r="N26" s="53"/>
      <c r="O26" s="57"/>
      <c r="P26" s="57"/>
      <c r="Q26" s="290"/>
      <c r="R26" s="291"/>
      <c r="S26" s="41"/>
      <c r="T26" s="57"/>
      <c r="U26" s="57"/>
    </row>
    <row r="27" spans="3:21" ht="96" x14ac:dyDescent="0.25">
      <c r="C27" s="54">
        <v>19</v>
      </c>
      <c r="D27" s="55"/>
      <c r="E27" s="56"/>
      <c r="F27" s="56">
        <v>3.01</v>
      </c>
      <c r="G27" s="18" t="s">
        <v>235</v>
      </c>
      <c r="H27" s="18" t="s">
        <v>236</v>
      </c>
      <c r="I27" s="49"/>
      <c r="J27" s="18" t="str">
        <f>"Input ID #"&amp;'Costing Questions'!C34&amp;": 
Total fuel volume, in L
"</f>
        <v xml:space="preserve">Input ID #15: 
Total fuel volume, in L
</v>
      </c>
      <c r="K27" s="266">
        <f>'Costing Questions'!G34</f>
        <v>0</v>
      </c>
      <c r="L27" s="68"/>
      <c r="M27" s="60"/>
      <c r="N27" s="53"/>
      <c r="O27" s="57">
        <f>Q_TBL[[#This Row],[Variable1]]</f>
        <v>0</v>
      </c>
      <c r="P27" s="57" t="s">
        <v>65</v>
      </c>
      <c r="Q27" s="290"/>
      <c r="R27" s="291"/>
      <c r="S27" s="41" t="s">
        <v>229</v>
      </c>
      <c r="T27" s="57">
        <f>132*205</f>
        <v>27060</v>
      </c>
      <c r="U27" s="57">
        <f>Q_TBL[[#This Row],[Quantity]]/Q_TBL[[#This Row],[Production - units/ crewday]]</f>
        <v>0</v>
      </c>
    </row>
    <row r="28" spans="3:21" ht="108" x14ac:dyDescent="0.25">
      <c r="C28" s="54">
        <v>20</v>
      </c>
      <c r="D28" s="55"/>
      <c r="E28" s="56"/>
      <c r="F28" s="56">
        <v>3.02</v>
      </c>
      <c r="G28" s="18" t="s">
        <v>237</v>
      </c>
      <c r="H28" s="18" t="s">
        <v>320</v>
      </c>
      <c r="I28" s="49"/>
      <c r="J28" s="18"/>
      <c r="K28" s="60" t="b">
        <f>O27&gt;0</f>
        <v>0</v>
      </c>
      <c r="L28" s="67">
        <v>1</v>
      </c>
      <c r="M28" s="60">
        <v>0</v>
      </c>
      <c r="N28" s="53"/>
      <c r="O28" s="57">
        <f>IF(Q_TBL[[#This Row],[Variable1]]=TRUE,Q_TBL[[#This Row],[Variable2]],Q_TBL[[#This Row],[Variable3]])</f>
        <v>0</v>
      </c>
      <c r="P28" s="57" t="s">
        <v>46</v>
      </c>
      <c r="Q28" s="290"/>
      <c r="R28" s="291"/>
      <c r="S28" s="41" t="s">
        <v>107</v>
      </c>
      <c r="T28" s="57"/>
      <c r="U28" s="57"/>
    </row>
    <row r="29" spans="3:21" x14ac:dyDescent="0.25">
      <c r="C29" s="54">
        <v>21</v>
      </c>
      <c r="D29" s="55"/>
      <c r="E29" s="56" t="s">
        <v>12</v>
      </c>
      <c r="F29" s="56" t="s">
        <v>238</v>
      </c>
      <c r="G29" s="18"/>
      <c r="H29" s="18"/>
      <c r="I29" s="49"/>
      <c r="J29" s="18"/>
      <c r="K29" s="57"/>
      <c r="L29" s="58"/>
      <c r="M29" s="57"/>
      <c r="N29" s="53"/>
      <c r="O29" s="57"/>
      <c r="P29" s="57"/>
      <c r="Q29" s="290"/>
      <c r="R29" s="291"/>
      <c r="S29" s="41"/>
      <c r="T29" s="57"/>
      <c r="U29" s="57"/>
    </row>
    <row r="30" spans="3:21" ht="84" x14ac:dyDescent="0.25">
      <c r="C30" s="54">
        <v>22</v>
      </c>
      <c r="D30" s="55"/>
      <c r="E30" s="56"/>
      <c r="F30" s="56">
        <v>3.03</v>
      </c>
      <c r="G30" s="18" t="s">
        <v>288</v>
      </c>
      <c r="H30" s="18" t="s">
        <v>177</v>
      </c>
      <c r="I30" s="49"/>
      <c r="J30" s="18" t="str">
        <f>"Input ID #"&amp;'Costing Questions'!C34&amp;": 
Total fuel volume, in L
"</f>
        <v xml:space="preserve">Input ID #15: 
Total fuel volume, in L
</v>
      </c>
      <c r="K30" s="266">
        <f>'Costing Questions'!G34</f>
        <v>0</v>
      </c>
      <c r="L30" s="69">
        <f>ROUND(Q_TBL[[#This Row],[Variable1]]*0.01/100,0)</f>
        <v>0</v>
      </c>
      <c r="M30" s="70">
        <f>(Q_TBL[[#This Row],[Variable2]]*(0.26/24)*0.2)/(0.4*0.15)*0.76</f>
        <v>0</v>
      </c>
      <c r="N30" s="71"/>
      <c r="O30" s="57">
        <f>Q_TBL[[#This Row],[Variable3]]</f>
        <v>0</v>
      </c>
      <c r="P30" s="57" t="s">
        <v>38</v>
      </c>
      <c r="Q30" s="290"/>
      <c r="R30" s="291"/>
      <c r="S30" s="41" t="s">
        <v>118</v>
      </c>
      <c r="T30" s="57">
        <v>3</v>
      </c>
      <c r="U30" s="57">
        <f>Q_TBL[[#This Row],[Quantity]]/Q_TBL[[#This Row],[Production - units/ crewday]]</f>
        <v>0</v>
      </c>
    </row>
    <row r="31" spans="3:21" x14ac:dyDescent="0.25">
      <c r="C31" s="54">
        <v>23</v>
      </c>
      <c r="D31" s="55"/>
      <c r="E31" s="56" t="s">
        <v>13</v>
      </c>
      <c r="F31" s="56" t="s">
        <v>239</v>
      </c>
      <c r="G31" s="18"/>
      <c r="H31" s="18"/>
      <c r="I31" s="49"/>
      <c r="J31" s="18"/>
      <c r="K31" s="57"/>
      <c r="L31" s="58"/>
      <c r="M31" s="57"/>
      <c r="N31" s="53"/>
      <c r="O31" s="57"/>
      <c r="P31" s="57"/>
      <c r="Q31" s="290"/>
      <c r="R31" s="291"/>
      <c r="S31" s="41"/>
      <c r="T31" s="57"/>
      <c r="U31" s="57"/>
    </row>
    <row r="32" spans="3:21" ht="72" x14ac:dyDescent="0.25">
      <c r="C32" s="54">
        <v>24</v>
      </c>
      <c r="D32" s="55"/>
      <c r="E32" s="56"/>
      <c r="F32" s="56">
        <v>3.04</v>
      </c>
      <c r="G32" s="18" t="s">
        <v>289</v>
      </c>
      <c r="H32" s="18" t="s">
        <v>240</v>
      </c>
      <c r="I32" s="49"/>
      <c r="J32" s="18"/>
      <c r="K32" s="72">
        <f>L34</f>
        <v>0</v>
      </c>
      <c r="L32" s="72">
        <f>M34</f>
        <v>0</v>
      </c>
      <c r="M32" s="72">
        <f>O30*2.05</f>
        <v>0</v>
      </c>
      <c r="N32" s="53"/>
      <c r="O32" s="57">
        <f>SUM(Q_TBL[[#This Row],[Variable1]:[Variable3]])</f>
        <v>0</v>
      </c>
      <c r="P32" s="57" t="s">
        <v>44</v>
      </c>
      <c r="Q32" s="290"/>
      <c r="R32" s="291"/>
      <c r="S32" s="41"/>
      <c r="T32" s="57"/>
      <c r="U32" s="57"/>
    </row>
    <row r="33" spans="3:21" ht="108" x14ac:dyDescent="0.25">
      <c r="C33" s="54">
        <v>25</v>
      </c>
      <c r="D33" s="55"/>
      <c r="E33" s="56"/>
      <c r="F33" s="56">
        <v>3.05</v>
      </c>
      <c r="G33" s="18" t="s">
        <v>290</v>
      </c>
      <c r="H33" s="15" t="s">
        <v>315</v>
      </c>
      <c r="I33" s="49"/>
      <c r="J33" s="18"/>
      <c r="K33" s="73">
        <f>K27*0.1</f>
        <v>0</v>
      </c>
      <c r="L33" s="72">
        <f>Q_TBL[[#This Row],[Variable1]]/1000*0.832</f>
        <v>0</v>
      </c>
      <c r="M33" s="72">
        <f>K27*0.01/1000*0.832</f>
        <v>0</v>
      </c>
      <c r="N33" s="74"/>
      <c r="O33" s="57">
        <f>SUM(Q_TBL[[#This Row],[Variable2]:[Variable3]])</f>
        <v>0</v>
      </c>
      <c r="P33" s="57" t="s">
        <v>44</v>
      </c>
      <c r="Q33" s="290"/>
      <c r="R33" s="291"/>
      <c r="S33" s="41"/>
      <c r="T33" s="57"/>
      <c r="U33" s="57"/>
    </row>
    <row r="34" spans="3:21" ht="120" x14ac:dyDescent="0.25">
      <c r="C34" s="54">
        <v>26</v>
      </c>
      <c r="D34" s="55"/>
      <c r="E34" s="56"/>
      <c r="F34" s="56">
        <v>3.06</v>
      </c>
      <c r="G34" s="18" t="s">
        <v>246</v>
      </c>
      <c r="H34" s="18" t="s">
        <v>241</v>
      </c>
      <c r="I34" s="49"/>
      <c r="J34" s="18" t="str">
        <f>"Input ID #"&amp;'Costing Questions'!C32&amp;" &amp; #"&amp;'Costing Questions'!C33&amp;":
Total number of fuel barrels
Total weight of non-barrel fuel containers, in t
"</f>
        <v xml:space="preserve">Input ID #13 &amp; #14:
Total number of fuel barrels
Total weight of non-barrel fuel containers, in t
</v>
      </c>
      <c r="K34" s="59">
        <f>'Costing Questions'!G32</f>
        <v>0</v>
      </c>
      <c r="L34" s="72">
        <f>Q_TBL[[#This Row],[Variable1]]*20/1000</f>
        <v>0</v>
      </c>
      <c r="M34" s="264">
        <f>'Costing Questions'!G33</f>
        <v>0</v>
      </c>
      <c r="N34" s="75"/>
      <c r="O34" s="57">
        <f>SUM(Q_TBL[[#This Row],[Variable2]:[Variable3]])</f>
        <v>0</v>
      </c>
      <c r="P34" s="57" t="s">
        <v>44</v>
      </c>
      <c r="Q34" s="290"/>
      <c r="R34" s="291"/>
      <c r="S34" s="41"/>
      <c r="T34" s="57"/>
      <c r="U34" s="57"/>
    </row>
    <row r="35" spans="3:21" ht="36" x14ac:dyDescent="0.25">
      <c r="C35" s="54">
        <v>27</v>
      </c>
      <c r="D35" s="55"/>
      <c r="E35" s="56"/>
      <c r="F35" s="56">
        <v>3.07</v>
      </c>
      <c r="G35" s="18" t="s">
        <v>244</v>
      </c>
      <c r="H35" s="18" t="s">
        <v>242</v>
      </c>
      <c r="I35" s="49"/>
      <c r="J35" s="18"/>
      <c r="K35" s="72">
        <f>M32</f>
        <v>0</v>
      </c>
      <c r="L35" s="67"/>
      <c r="M35" s="76"/>
      <c r="N35" s="75"/>
      <c r="O35" s="57">
        <f>Q_TBL[[#This Row],[Variable1]]</f>
        <v>0</v>
      </c>
      <c r="P35" s="57" t="s">
        <v>44</v>
      </c>
      <c r="Q35" s="290"/>
      <c r="R35" s="291"/>
      <c r="S35" s="41"/>
      <c r="T35" s="57"/>
      <c r="U35" s="57"/>
    </row>
    <row r="36" spans="3:21" ht="36" x14ac:dyDescent="0.25">
      <c r="C36" s="54">
        <v>28</v>
      </c>
      <c r="D36" s="55"/>
      <c r="E36" s="56"/>
      <c r="F36" s="56">
        <v>3.08</v>
      </c>
      <c r="G36" s="18" t="s">
        <v>245</v>
      </c>
      <c r="H36" s="18" t="s">
        <v>243</v>
      </c>
      <c r="I36" s="49"/>
      <c r="J36" s="18"/>
      <c r="K36" s="69">
        <f>K33</f>
        <v>0</v>
      </c>
      <c r="L36" s="69">
        <f>K27*0.01</f>
        <v>0</v>
      </c>
      <c r="M36" s="76"/>
      <c r="N36" s="75"/>
      <c r="O36" s="57">
        <f>SUM(Q_TBL[[#This Row],[Variable1]:[Variable2]])</f>
        <v>0</v>
      </c>
      <c r="P36" s="57" t="s">
        <v>43</v>
      </c>
      <c r="Q36" s="290"/>
      <c r="R36" s="291"/>
      <c r="S36" s="41"/>
      <c r="T36" s="57"/>
      <c r="U36" s="57"/>
    </row>
    <row r="37" spans="3:21" x14ac:dyDescent="0.25">
      <c r="C37" s="54">
        <v>29</v>
      </c>
      <c r="D37" s="55">
        <v>4</v>
      </c>
      <c r="E37" s="56" t="s">
        <v>180</v>
      </c>
      <c r="F37" s="56"/>
      <c r="G37" s="18"/>
      <c r="H37" s="18"/>
      <c r="I37" s="49"/>
      <c r="J37" s="18"/>
      <c r="K37" s="57"/>
      <c r="L37" s="58"/>
      <c r="M37" s="57"/>
      <c r="N37" s="53"/>
      <c r="O37" s="57"/>
      <c r="P37" s="57"/>
      <c r="Q37" s="290"/>
      <c r="R37" s="291"/>
      <c r="S37" s="41"/>
      <c r="T37" s="57"/>
      <c r="U37" s="57"/>
    </row>
    <row r="38" spans="3:21" x14ac:dyDescent="0.25">
      <c r="C38" s="54">
        <v>30</v>
      </c>
      <c r="D38" s="55"/>
      <c r="E38" s="56" t="s">
        <v>11</v>
      </c>
      <c r="F38" s="56" t="s">
        <v>21</v>
      </c>
      <c r="G38" s="18"/>
      <c r="H38" s="18"/>
      <c r="I38" s="49"/>
      <c r="J38" s="18"/>
      <c r="K38" s="57"/>
      <c r="L38" s="58"/>
      <c r="M38" s="57"/>
      <c r="N38" s="53"/>
      <c r="O38" s="57"/>
      <c r="P38" s="57"/>
      <c r="Q38" s="290"/>
      <c r="R38" s="291"/>
      <c r="S38" s="41"/>
      <c r="T38" s="57"/>
      <c r="U38" s="57"/>
    </row>
    <row r="39" spans="3:21" ht="84" x14ac:dyDescent="0.25">
      <c r="C39" s="54">
        <v>31</v>
      </c>
      <c r="D39" s="55"/>
      <c r="E39" s="56"/>
      <c r="F39" s="56">
        <v>4.01</v>
      </c>
      <c r="G39" s="18" t="s">
        <v>291</v>
      </c>
      <c r="H39" s="18" t="s">
        <v>247</v>
      </c>
      <c r="I39" s="49"/>
      <c r="J39" s="18"/>
      <c r="K39" s="57" t="b">
        <f>'Costing Questions'!G14&gt;0</f>
        <v>0</v>
      </c>
      <c r="L39" s="67">
        <v>1</v>
      </c>
      <c r="M39" s="60" t="s">
        <v>78</v>
      </c>
      <c r="N39" s="53"/>
      <c r="O39" s="57" t="str">
        <f>IF(Q_TBL[[#This Row],[Variable1]]=TRUE,Q_TBL[[#This Row],[Variable2]],Q_TBL[[#This Row],[Variable3]])</f>
        <v>No Work</v>
      </c>
      <c r="P39" s="57" t="s">
        <v>321</v>
      </c>
      <c r="Q39" s="290"/>
      <c r="R39" s="291"/>
      <c r="S39" s="41"/>
      <c r="T39" s="57"/>
      <c r="U39" s="57"/>
    </row>
    <row r="40" spans="3:21" x14ac:dyDescent="0.25">
      <c r="C40" s="54">
        <v>32</v>
      </c>
      <c r="D40" s="55"/>
      <c r="E40" s="56" t="s">
        <v>12</v>
      </c>
      <c r="F40" s="56" t="s">
        <v>179</v>
      </c>
      <c r="G40" s="18"/>
      <c r="H40" s="18"/>
      <c r="I40" s="49"/>
      <c r="J40" s="18"/>
      <c r="K40" s="57"/>
      <c r="L40" s="58"/>
      <c r="M40" s="57"/>
      <c r="N40" s="53"/>
      <c r="O40" s="57"/>
      <c r="P40" s="57"/>
      <c r="Q40" s="290"/>
      <c r="R40" s="291"/>
      <c r="S40" s="41"/>
      <c r="T40" s="57"/>
      <c r="U40" s="57"/>
    </row>
    <row r="41" spans="3:21" ht="60" x14ac:dyDescent="0.25">
      <c r="C41" s="54">
        <v>33</v>
      </c>
      <c r="D41" s="55"/>
      <c r="E41" s="56"/>
      <c r="F41" s="56">
        <v>4.0199999999999996</v>
      </c>
      <c r="G41" s="18" t="s">
        <v>248</v>
      </c>
      <c r="H41" s="18" t="s">
        <v>325</v>
      </c>
      <c r="I41" s="49"/>
      <c r="J41" s="18" t="str">
        <f>"Input ID #"&amp;'Costing Questions'!C37&amp;":
Potential Impact on Land?
"</f>
        <v xml:space="preserve">Input ID #17:
Potential Impact on Land?
</v>
      </c>
      <c r="K41" s="59">
        <f>'Costing Questions'!G37</f>
        <v>0</v>
      </c>
      <c r="L41" s="67">
        <v>1</v>
      </c>
      <c r="M41" s="60" t="s">
        <v>78</v>
      </c>
      <c r="N41" s="53"/>
      <c r="O41" s="57" t="str">
        <f>IF(Q_TBL[[#This Row],[Variable1]]="Yes",Q_TBL[[#This Row],[Variable2]],Q_TBL[[#This Row],[Variable3]])</f>
        <v>No Work</v>
      </c>
      <c r="P41" s="57" t="s">
        <v>321</v>
      </c>
      <c r="Q41" s="290"/>
      <c r="R41" s="291"/>
      <c r="S41" s="41"/>
      <c r="T41" s="57"/>
      <c r="U41" s="57"/>
    </row>
    <row r="42" spans="3:21" ht="60" x14ac:dyDescent="0.25">
      <c r="C42" s="54">
        <v>34</v>
      </c>
      <c r="D42" s="55"/>
      <c r="E42" s="56"/>
      <c r="F42" s="56">
        <v>4.03</v>
      </c>
      <c r="G42" s="18" t="s">
        <v>309</v>
      </c>
      <c r="H42" s="18" t="s">
        <v>326</v>
      </c>
      <c r="I42" s="49"/>
      <c r="J42" s="18" t="str">
        <f>"Input ID #"&amp;'Costing Questions'!C36&amp;":
Potential Impact on Water?
"</f>
        <v xml:space="preserve">Input ID #16:
Potential Impact on Water?
</v>
      </c>
      <c r="K42" s="59">
        <f>'Costing Questions'!G36</f>
        <v>0</v>
      </c>
      <c r="L42" s="67">
        <v>1</v>
      </c>
      <c r="M42" s="60" t="s">
        <v>78</v>
      </c>
      <c r="N42" s="53"/>
      <c r="O42" s="57" t="str">
        <f>IF(Q_TBL[[#This Row],[Variable1]]="Yes",Q_TBL[[#This Row],[Variable2]],Q_TBL[[#This Row],[Variable3]])</f>
        <v>No Work</v>
      </c>
      <c r="P42" s="57" t="s">
        <v>321</v>
      </c>
      <c r="Q42" s="290"/>
      <c r="R42" s="291"/>
      <c r="S42" s="41"/>
      <c r="T42" s="57"/>
      <c r="U42" s="57"/>
    </row>
    <row r="43" spans="3:21" x14ac:dyDescent="0.25">
      <c r="C43" s="54">
        <v>35</v>
      </c>
      <c r="D43" s="55">
        <v>5</v>
      </c>
      <c r="E43" s="56" t="s">
        <v>278</v>
      </c>
      <c r="F43" s="56"/>
      <c r="G43" s="18"/>
      <c r="H43" s="18"/>
      <c r="I43" s="49"/>
      <c r="J43" s="18"/>
      <c r="K43" s="57"/>
      <c r="L43" s="58"/>
      <c r="M43" s="57"/>
      <c r="N43" s="53"/>
      <c r="O43" s="57"/>
      <c r="P43" s="57"/>
      <c r="Q43" s="290"/>
      <c r="R43" s="291"/>
      <c r="S43" s="41"/>
      <c r="T43" s="57"/>
      <c r="U43" s="57"/>
    </row>
    <row r="44" spans="3:21" x14ac:dyDescent="0.25">
      <c r="C44" s="54">
        <v>36</v>
      </c>
      <c r="D44" s="55"/>
      <c r="E44" s="56" t="s">
        <v>11</v>
      </c>
      <c r="F44" s="56" t="s">
        <v>279</v>
      </c>
      <c r="G44" s="18"/>
      <c r="H44" s="18"/>
      <c r="I44" s="49"/>
      <c r="J44" s="18"/>
      <c r="K44" s="57"/>
      <c r="L44" s="58"/>
      <c r="M44" s="57"/>
      <c r="N44" s="53"/>
      <c r="O44" s="57"/>
      <c r="P44" s="57"/>
      <c r="Q44" s="290"/>
      <c r="R44" s="291"/>
      <c r="S44" s="41"/>
      <c r="T44" s="57"/>
      <c r="U44" s="57"/>
    </row>
    <row r="45" spans="3:21" ht="84" x14ac:dyDescent="0.25">
      <c r="C45" s="54">
        <v>37</v>
      </c>
      <c r="D45" s="55"/>
      <c r="E45" s="56"/>
      <c r="F45" s="56">
        <v>5.01</v>
      </c>
      <c r="G45" s="18" t="s">
        <v>292</v>
      </c>
      <c r="H45" s="18" t="s">
        <v>249</v>
      </c>
      <c r="I45" s="49"/>
      <c r="J45" s="18" t="str">
        <f>"Input ID #"&amp;'Costing Questions'!C19&amp;" &amp; #"&amp;'Costing Questions'!C17&amp;":
→ Land Restoration?
→ Large Building Demo?
"</f>
        <v xml:space="preserve">Input ID #4 &amp; #3:
→ Land Restoration?
→ Large Building Demo?
</v>
      </c>
      <c r="K45" s="59" t="b">
        <f>OR('Costing Questions'!G19="yes",'Costing Questions'!G17="yes")</f>
        <v>0</v>
      </c>
      <c r="L45" s="67" t="s">
        <v>23</v>
      </c>
      <c r="M45" s="60" t="s">
        <v>24</v>
      </c>
      <c r="N45" s="53"/>
      <c r="O45" s="57" t="str">
        <f>IF(Q_TBL[[#This Row],[Variable1]]=TRUE,Q_TBL[[#This Row],[Variable2]],Q_TBL[[#This Row],[Variable3]])</f>
        <v>No</v>
      </c>
      <c r="P45" s="57" t="s">
        <v>76</v>
      </c>
      <c r="Q45" s="290"/>
      <c r="R45" s="291"/>
      <c r="S45" s="41"/>
      <c r="T45" s="57"/>
      <c r="U45" s="57"/>
    </row>
    <row r="46" spans="3:21" ht="60" x14ac:dyDescent="0.25">
      <c r="C46" s="54">
        <v>38</v>
      </c>
      <c r="D46" s="55"/>
      <c r="E46" s="56"/>
      <c r="F46" s="56">
        <v>5.0199999999999996</v>
      </c>
      <c r="G46" s="18" t="s">
        <v>352</v>
      </c>
      <c r="H46" s="18"/>
      <c r="I46" s="49"/>
      <c r="J46" s="18" t="str">
        <f>"Input ID #"&amp;'Costing Questions'!C27&amp;":
Total kms of winter road
"</f>
        <v xml:space="preserve">Input ID #10:
Total kms of winter road
</v>
      </c>
      <c r="K46" s="59" t="b">
        <f>AND(K45=TRUE,'Costing Questions'!G25="yes")</f>
        <v>0</v>
      </c>
      <c r="L46" s="267">
        <f>'Costing Questions'!G27</f>
        <v>0</v>
      </c>
      <c r="M46" s="60" t="s">
        <v>78</v>
      </c>
      <c r="N46" s="53"/>
      <c r="O46" s="57" t="str">
        <f>IF(Q_TBL[[#This Row],[Variable1]]=TRUE,Q_TBL[[#This Row],[Variable2]],Q_TBL[[#This Row],[Variable3]])</f>
        <v>No Work</v>
      </c>
      <c r="P46" s="57" t="s">
        <v>32</v>
      </c>
      <c r="Q46" s="290"/>
      <c r="R46" s="291"/>
      <c r="S46" s="41"/>
      <c r="T46" s="57"/>
      <c r="U46" s="57"/>
    </row>
    <row r="47" spans="3:21" ht="60" x14ac:dyDescent="0.25">
      <c r="C47" s="54">
        <v>39</v>
      </c>
      <c r="D47" s="55"/>
      <c r="E47" s="56"/>
      <c r="F47" s="56">
        <v>5.0299999999999994</v>
      </c>
      <c r="G47" s="18" t="s">
        <v>276</v>
      </c>
      <c r="H47" s="18" t="s">
        <v>306</v>
      </c>
      <c r="I47" s="49"/>
      <c r="J47" s="18"/>
      <c r="K47" s="60" t="b">
        <f t="shared" ref="K47:K49" si="1">K$45</f>
        <v>0</v>
      </c>
      <c r="L47" s="72">
        <f>20+25+25+25</f>
        <v>95</v>
      </c>
      <c r="M47" s="72" t="s">
        <v>78</v>
      </c>
      <c r="N47" s="74"/>
      <c r="O47" s="57" t="str">
        <f>IF(Q_TBL[[#This Row],[Variable1]]=TRUE,Q_TBL[[#This Row],[Variable2]],Q_TBL[[#This Row],[Variable3]])</f>
        <v>No Work</v>
      </c>
      <c r="P47" s="57" t="s">
        <v>31</v>
      </c>
      <c r="Q47" s="290"/>
      <c r="R47" s="291"/>
      <c r="S47" s="41"/>
      <c r="T47" s="57"/>
      <c r="U47" s="57"/>
    </row>
    <row r="48" spans="3:21" ht="36" x14ac:dyDescent="0.25">
      <c r="C48" s="54">
        <v>40</v>
      </c>
      <c r="D48" s="55"/>
      <c r="E48" s="56"/>
      <c r="F48" s="56">
        <v>5.0399999999999991</v>
      </c>
      <c r="G48" s="18" t="s">
        <v>277</v>
      </c>
      <c r="H48" s="18" t="s">
        <v>100</v>
      </c>
      <c r="I48" s="49"/>
      <c r="J48" s="18"/>
      <c r="K48" s="60" t="b">
        <f t="shared" si="1"/>
        <v>0</v>
      </c>
      <c r="L48" s="271">
        <f>4*100*ROUNDUP(SUM(U12:U13),0)/1000*0.832</f>
        <v>0</v>
      </c>
      <c r="M48" s="60" t="s">
        <v>78</v>
      </c>
      <c r="N48" s="53"/>
      <c r="O48" s="57" t="str">
        <f>IF(Q_TBL[[#This Row],[Variable1]]=TRUE,Q_TBL[[#This Row],[Variable2]],Q_TBL[[#This Row],[Variable3]])</f>
        <v>No Work</v>
      </c>
      <c r="P48" s="57" t="s">
        <v>31</v>
      </c>
      <c r="Q48" s="290"/>
      <c r="R48" s="291"/>
      <c r="S48" s="41"/>
      <c r="T48" s="57"/>
      <c r="U48" s="57"/>
    </row>
    <row r="49" spans="3:21" ht="36" x14ac:dyDescent="0.25">
      <c r="C49" s="54">
        <v>41</v>
      </c>
      <c r="D49" s="55"/>
      <c r="E49" s="56"/>
      <c r="F49" s="56">
        <v>5.0499999999999989</v>
      </c>
      <c r="G49" s="18" t="s">
        <v>17</v>
      </c>
      <c r="H49" s="22" t="s">
        <v>322</v>
      </c>
      <c r="I49" s="49"/>
      <c r="J49" s="22"/>
      <c r="K49" s="60" t="b">
        <f t="shared" si="1"/>
        <v>0</v>
      </c>
      <c r="L49" s="77">
        <v>0.1</v>
      </c>
      <c r="M49" s="60" t="s">
        <v>78</v>
      </c>
      <c r="N49" s="53"/>
      <c r="O49" s="57" t="str">
        <f>IF(Q_TBL[[#This Row],[Variable1]]=TRUE,Q_TBL[[#This Row],[Variable2]],Q_TBL[[#This Row],[Variable3]])</f>
        <v>No Work</v>
      </c>
      <c r="P49" s="57" t="s">
        <v>41</v>
      </c>
      <c r="Q49" s="290"/>
      <c r="R49" s="291"/>
      <c r="S49" s="41"/>
      <c r="T49" s="57"/>
      <c r="U49" s="57"/>
    </row>
    <row r="50" spans="3:21" x14ac:dyDescent="0.25">
      <c r="C50" s="54">
        <v>42</v>
      </c>
      <c r="D50" s="55"/>
      <c r="E50" s="56" t="s">
        <v>12</v>
      </c>
      <c r="F50" s="56" t="s">
        <v>281</v>
      </c>
      <c r="G50" s="18"/>
      <c r="H50" s="18"/>
      <c r="I50" s="49"/>
      <c r="J50" s="18"/>
      <c r="K50" s="57"/>
      <c r="L50" s="58"/>
      <c r="M50" s="57"/>
      <c r="N50" s="53"/>
      <c r="O50" s="57"/>
      <c r="P50" s="57"/>
      <c r="Q50" s="290"/>
      <c r="R50" s="291"/>
      <c r="S50" s="41"/>
      <c r="T50" s="57"/>
      <c r="U50" s="57"/>
    </row>
    <row r="51" spans="3:21" ht="72" x14ac:dyDescent="0.25">
      <c r="C51" s="54">
        <v>43</v>
      </c>
      <c r="D51" s="55"/>
      <c r="E51" s="56"/>
      <c r="F51" s="56">
        <v>5.0599999999999996</v>
      </c>
      <c r="G51" s="18" t="s">
        <v>47</v>
      </c>
      <c r="H51" s="18" t="s">
        <v>252</v>
      </c>
      <c r="I51" s="49"/>
      <c r="J51" s="18"/>
      <c r="K51" s="60">
        <v>6</v>
      </c>
      <c r="L51" s="78">
        <f>150*1.1</f>
        <v>165</v>
      </c>
      <c r="M51" s="60"/>
      <c r="N51" s="53"/>
      <c r="O51" s="57">
        <f>Q_TBL[[#This Row],[Variable1]]*Q_TBL[[#This Row],[Variable2]]</f>
        <v>990</v>
      </c>
      <c r="P51" s="57" t="s">
        <v>39</v>
      </c>
      <c r="Q51" s="290"/>
      <c r="R51" s="291"/>
      <c r="S51" s="41"/>
      <c r="T51" s="57"/>
      <c r="U51" s="57"/>
    </row>
    <row r="52" spans="3:21" x14ac:dyDescent="0.25">
      <c r="C52" s="54">
        <v>44</v>
      </c>
      <c r="D52" s="55"/>
      <c r="E52" s="56"/>
      <c r="F52" s="56">
        <v>5.07</v>
      </c>
      <c r="G52" s="18" t="s">
        <v>181</v>
      </c>
      <c r="H52" s="18" t="s">
        <v>51</v>
      </c>
      <c r="I52" s="49"/>
      <c r="J52" s="18"/>
      <c r="K52" s="60" t="b">
        <f>K45</f>
        <v>0</v>
      </c>
      <c r="L52" s="67">
        <v>4</v>
      </c>
      <c r="M52" s="78">
        <f>L51</f>
        <v>165</v>
      </c>
      <c r="N52" s="79"/>
      <c r="O52" s="57">
        <f>IF(Q_TBL[[#This Row],[Variable1]]=TRUE,Q_TBL[[#This Row],[Variable2]]*Q_TBL[[#This Row],[Variable3]],0)</f>
        <v>0</v>
      </c>
      <c r="P52" s="57" t="s">
        <v>39</v>
      </c>
      <c r="Q52" s="290"/>
      <c r="R52" s="291"/>
      <c r="S52" s="41"/>
      <c r="T52" s="57"/>
      <c r="U52" s="57"/>
    </row>
    <row r="53" spans="3:21" ht="240" x14ac:dyDescent="0.25">
      <c r="C53" s="54">
        <v>45</v>
      </c>
      <c r="D53" s="55"/>
      <c r="E53" s="56"/>
      <c r="F53" s="56">
        <v>5.08</v>
      </c>
      <c r="G53" s="18" t="s">
        <v>120</v>
      </c>
      <c r="H53" s="18" t="s">
        <v>323</v>
      </c>
      <c r="I53" s="49"/>
      <c r="J53" s="18"/>
      <c r="K53" s="80" t="b">
        <f>K59</f>
        <v>0</v>
      </c>
      <c r="L53" s="78">
        <f>2000+1500+1000+1000</f>
        <v>5500</v>
      </c>
      <c r="M53" s="78">
        <f>IF(K52=TRUE,500+500+500,0)</f>
        <v>0</v>
      </c>
      <c r="N53" s="53"/>
      <c r="O53" s="57" t="str">
        <f>IF(Q_TBL[[#This Row],[Variable1]]=TRUE,Q_TBL[[#This Row],[Variable2]]+Q_TBL[[#This Row],[Variable3]],M54)</f>
        <v>No Work</v>
      </c>
      <c r="P53" s="57" t="s">
        <v>39</v>
      </c>
      <c r="Q53" s="290"/>
      <c r="R53" s="291"/>
      <c r="S53" s="41"/>
      <c r="T53" s="57"/>
      <c r="U53" s="57"/>
    </row>
    <row r="54" spans="3:21" ht="24" x14ac:dyDescent="0.25">
      <c r="C54" s="54">
        <v>46</v>
      </c>
      <c r="D54" s="55"/>
      <c r="E54" s="56"/>
      <c r="F54" s="56" t="s">
        <v>338</v>
      </c>
      <c r="G54" s="18" t="s">
        <v>280</v>
      </c>
      <c r="H54" s="18"/>
      <c r="I54" s="49"/>
      <c r="J54" s="18"/>
      <c r="K54" s="81" t="b">
        <f>K59=FALSE</f>
        <v>1</v>
      </c>
      <c r="L54" s="81">
        <f>IF(M60&gt;2,M60-2,0)</f>
        <v>0</v>
      </c>
      <c r="M54" s="78" t="s">
        <v>78</v>
      </c>
      <c r="N54" s="53"/>
      <c r="O54" s="57">
        <f>IF(Q_TBL[[#This Row],[Variable1]]=TRUE,Q_TBL[[#This Row],[Variable2]],Q_TBL[[#This Row],[Variable3]])</f>
        <v>0</v>
      </c>
      <c r="P54" s="57" t="s">
        <v>119</v>
      </c>
      <c r="Q54" s="290"/>
      <c r="R54" s="291"/>
      <c r="S54" s="41"/>
      <c r="T54" s="57"/>
      <c r="U54" s="57"/>
    </row>
    <row r="55" spans="3:21" x14ac:dyDescent="0.25">
      <c r="C55" s="54">
        <v>47</v>
      </c>
      <c r="D55" s="55"/>
      <c r="E55" s="56"/>
      <c r="F55" s="56">
        <v>5.09</v>
      </c>
      <c r="G55" s="18" t="s">
        <v>182</v>
      </c>
      <c r="H55" s="18"/>
      <c r="I55" s="49"/>
      <c r="J55" s="18"/>
      <c r="K55" s="78">
        <f>O51</f>
        <v>990</v>
      </c>
      <c r="L55" s="78">
        <f>O52</f>
        <v>0</v>
      </c>
      <c r="M55" s="60"/>
      <c r="N55" s="53"/>
      <c r="O55" s="57">
        <f>SUM(Q_TBL[[#This Row],[Variable1]:[Variable2]])</f>
        <v>990</v>
      </c>
      <c r="P55" s="57" t="s">
        <v>39</v>
      </c>
      <c r="Q55" s="290"/>
      <c r="R55" s="291"/>
      <c r="S55" s="41"/>
      <c r="T55" s="57"/>
      <c r="U55" s="57"/>
    </row>
    <row r="56" spans="3:21" ht="48" x14ac:dyDescent="0.25">
      <c r="C56" s="54">
        <v>48</v>
      </c>
      <c r="D56" s="55"/>
      <c r="E56" s="56"/>
      <c r="F56" s="56">
        <v>5.0999999999999996</v>
      </c>
      <c r="G56" s="18" t="s">
        <v>48</v>
      </c>
      <c r="H56" s="18" t="s">
        <v>324</v>
      </c>
      <c r="I56" s="49"/>
      <c r="J56" s="18"/>
      <c r="K56" s="78" t="b">
        <f>K53</f>
        <v>0</v>
      </c>
      <c r="L56" s="78">
        <f>2000+1000</f>
        <v>3000</v>
      </c>
      <c r="M56" s="78">
        <f>IF(K52=TRUE,500,0)</f>
        <v>0</v>
      </c>
      <c r="N56" s="53"/>
      <c r="O56" s="57" t="str">
        <f>IF(Q_TBL[[#This Row],[Variable1]]=TRUE,Q_TBL[[#This Row],[Variable2]]+Q_TBL[[#This Row],[Variable3]],M54)</f>
        <v>No Work</v>
      </c>
      <c r="P56" s="57" t="s">
        <v>39</v>
      </c>
      <c r="Q56" s="290"/>
      <c r="R56" s="291"/>
      <c r="S56" s="41"/>
      <c r="T56" s="57"/>
      <c r="U56" s="57"/>
    </row>
    <row r="57" spans="3:21" ht="36" x14ac:dyDescent="0.25">
      <c r="C57" s="54">
        <v>49</v>
      </c>
      <c r="D57" s="55"/>
      <c r="E57" s="56"/>
      <c r="F57" s="56">
        <v>5.1100000000000003</v>
      </c>
      <c r="G57" s="18" t="s">
        <v>17</v>
      </c>
      <c r="H57" s="22" t="s">
        <v>322</v>
      </c>
      <c r="I57" s="49"/>
      <c r="J57" s="22"/>
      <c r="K57" s="77">
        <v>0.1</v>
      </c>
      <c r="L57" s="67"/>
      <c r="M57" s="60"/>
      <c r="N57" s="53"/>
      <c r="O57" s="57">
        <f>Q_TBL[[#This Row],[Variable1]]</f>
        <v>0.1</v>
      </c>
      <c r="P57" s="57" t="s">
        <v>41</v>
      </c>
      <c r="Q57" s="290"/>
      <c r="R57" s="291"/>
      <c r="S57" s="41"/>
      <c r="T57" s="57"/>
      <c r="U57" s="57"/>
    </row>
    <row r="58" spans="3:21" x14ac:dyDescent="0.25">
      <c r="C58" s="54">
        <v>50</v>
      </c>
      <c r="D58" s="55"/>
      <c r="E58" s="56" t="s">
        <v>13</v>
      </c>
      <c r="F58" s="56" t="s">
        <v>282</v>
      </c>
      <c r="G58" s="18"/>
      <c r="H58" s="18"/>
      <c r="I58" s="49"/>
      <c r="J58" s="18"/>
      <c r="K58" s="57"/>
      <c r="L58" s="58"/>
      <c r="M58" s="57"/>
      <c r="N58" s="53"/>
      <c r="O58" s="57"/>
      <c r="P58" s="57"/>
      <c r="Q58" s="290"/>
      <c r="R58" s="291"/>
      <c r="S58" s="41"/>
      <c r="T58" s="57"/>
      <c r="U58" s="57"/>
    </row>
    <row r="59" spans="3:21" ht="48" x14ac:dyDescent="0.25">
      <c r="C59" s="54">
        <v>51</v>
      </c>
      <c r="D59" s="55"/>
      <c r="E59" s="56"/>
      <c r="F59" s="56">
        <v>5.12</v>
      </c>
      <c r="G59" s="18" t="s">
        <v>293</v>
      </c>
      <c r="H59" s="18" t="s">
        <v>81</v>
      </c>
      <c r="I59" s="49"/>
      <c r="J59" s="18"/>
      <c r="K59" s="60" t="b">
        <f>M60&gt;Q_TBL[[#This Row],[Variable2]]</f>
        <v>0</v>
      </c>
      <c r="L59" s="82">
        <v>7</v>
      </c>
      <c r="M59" s="60">
        <v>1</v>
      </c>
      <c r="N59" s="53"/>
      <c r="O59" s="57" t="str">
        <f>IF(Q_TBL[[#This Row],[Variable1]]=TRUE,Q_TBL[[#This Row],[Variable3]],"No Work")</f>
        <v>No Work</v>
      </c>
      <c r="P59" s="57" t="s">
        <v>46</v>
      </c>
      <c r="Q59" s="290"/>
      <c r="R59" s="291"/>
      <c r="S59" s="41"/>
      <c r="T59" s="57"/>
      <c r="U59" s="57"/>
    </row>
    <row r="60" spans="3:21" ht="48" x14ac:dyDescent="0.25">
      <c r="C60" s="54">
        <v>52</v>
      </c>
      <c r="D60" s="55"/>
      <c r="E60" s="56"/>
      <c r="F60" s="56">
        <v>5.13</v>
      </c>
      <c r="G60" s="18" t="s">
        <v>250</v>
      </c>
      <c r="H60" s="18" t="s">
        <v>103</v>
      </c>
      <c r="I60" s="49"/>
      <c r="J60" s="18"/>
      <c r="K60" s="60" t="b">
        <f>K59</f>
        <v>0</v>
      </c>
      <c r="L60" s="83">
        <f>(O51/L51)+(O52/M52)</f>
        <v>6</v>
      </c>
      <c r="M60" s="272">
        <f>ROUNDUP(MAX(SUM(U14:U36),SUM(U9:U13))*1.1,0)</f>
        <v>0</v>
      </c>
      <c r="N60" s="53"/>
      <c r="O60" s="57" t="str">
        <f>IF(Q_TBL[[#This Row],[Variable1]]=TRUE,PRODUCT(Q_TBL[[#This Row],[Variable2]:[Variable3]]),"No Work")</f>
        <v>No Work</v>
      </c>
      <c r="P60" s="57" t="s">
        <v>66</v>
      </c>
      <c r="Q60" s="290"/>
      <c r="R60" s="291"/>
      <c r="S60" s="41"/>
      <c r="T60" s="57"/>
      <c r="U60" s="57"/>
    </row>
    <row r="61" spans="3:21" x14ac:dyDescent="0.25">
      <c r="C61" s="54">
        <v>53</v>
      </c>
      <c r="D61" s="55"/>
      <c r="E61" s="56" t="s">
        <v>14</v>
      </c>
      <c r="F61" s="56" t="s">
        <v>283</v>
      </c>
      <c r="G61" s="18"/>
      <c r="H61" s="18"/>
      <c r="I61" s="49"/>
      <c r="J61" s="18"/>
      <c r="K61" s="57"/>
      <c r="L61" s="58"/>
      <c r="M61" s="57"/>
      <c r="N61" s="53"/>
      <c r="O61" s="57"/>
      <c r="P61" s="57"/>
      <c r="Q61" s="290"/>
      <c r="R61" s="291"/>
      <c r="S61" s="41"/>
      <c r="T61" s="57"/>
      <c r="U61" s="57"/>
    </row>
    <row r="62" spans="3:21" ht="60" x14ac:dyDescent="0.25">
      <c r="C62" s="54">
        <v>54</v>
      </c>
      <c r="D62" s="55"/>
      <c r="E62" s="56"/>
      <c r="F62" s="56">
        <v>5.14</v>
      </c>
      <c r="G62" s="18" t="s">
        <v>49</v>
      </c>
      <c r="H62" s="18" t="s">
        <v>251</v>
      </c>
      <c r="I62" s="49"/>
      <c r="J62" s="18" t="str">
        <f>"Input ID #"&amp;'Costing Questions'!C15&amp;":
Aircraft-access only?
"</f>
        <v xml:space="preserve">Input ID #2:
Aircraft-access only?
</v>
      </c>
      <c r="K62" s="246">
        <f>'Costing Questions'!G15</f>
        <v>0</v>
      </c>
      <c r="L62" s="57" t="s">
        <v>23</v>
      </c>
      <c r="M62" s="57" t="s">
        <v>24</v>
      </c>
      <c r="N62" s="53"/>
      <c r="O62" s="57" t="str">
        <f>IF(Q_TBL[[#This Row],[Variable1]]="Yes",Q_TBL[[#This Row],[Variable2]],Q_TBL[[#This Row],[Variable3]])</f>
        <v>No</v>
      </c>
      <c r="P62" s="57" t="s">
        <v>76</v>
      </c>
      <c r="Q62" s="290"/>
      <c r="R62" s="291"/>
      <c r="S62" s="41"/>
      <c r="T62" s="57"/>
      <c r="U62" s="57"/>
    </row>
    <row r="63" spans="3:21" ht="96" x14ac:dyDescent="0.25">
      <c r="C63" s="54">
        <v>55</v>
      </c>
      <c r="D63" s="55"/>
      <c r="E63" s="56"/>
      <c r="F63" s="56">
        <v>5.15</v>
      </c>
      <c r="G63" s="18" t="s">
        <v>353</v>
      </c>
      <c r="H63" s="18"/>
      <c r="I63" s="49"/>
      <c r="J63" s="15" t="str">
        <f>"Input ID #"&amp;'Costing Questions'!C27&amp;":
Aircraft-access only?
Total kms of winter road
"</f>
        <v xml:space="preserve">Input ID #10:
Aircraft-access only?
Total kms of winter road
</v>
      </c>
      <c r="K63" s="246" t="b">
        <f>'Costing Questions'!G25="yes"</f>
        <v>0</v>
      </c>
      <c r="L63" s="267">
        <f>'Costing Questions'!G27</f>
        <v>0</v>
      </c>
      <c r="M63" s="60" t="s">
        <v>78</v>
      </c>
      <c r="N63" s="53"/>
      <c r="O63" s="57" t="str">
        <f>IF(Q_TBL[[#This Row],[Variable1]]=TRUE,Q_TBL[[#This Row],[Variable2]],Q_TBL[[#This Row],[Variable3]])</f>
        <v>No Work</v>
      </c>
      <c r="P63" s="57" t="s">
        <v>32</v>
      </c>
      <c r="Q63" s="290"/>
      <c r="R63" s="291"/>
      <c r="S63" s="41"/>
      <c r="T63" s="57"/>
      <c r="U63" s="57"/>
    </row>
    <row r="64" spans="3:21" ht="60" x14ac:dyDescent="0.25">
      <c r="C64" s="54">
        <v>56</v>
      </c>
      <c r="D64" s="55"/>
      <c r="E64" s="56"/>
      <c r="F64" s="56">
        <v>5.16</v>
      </c>
      <c r="G64" s="18" t="s">
        <v>104</v>
      </c>
      <c r="H64" s="18" t="s">
        <v>253</v>
      </c>
      <c r="I64" s="49"/>
      <c r="J64" s="18"/>
      <c r="K64" s="72">
        <f>O23</f>
        <v>0</v>
      </c>
      <c r="L64" s="72">
        <f>O32</f>
        <v>0</v>
      </c>
      <c r="M64" s="72">
        <f>O33</f>
        <v>0</v>
      </c>
      <c r="N64" s="74"/>
      <c r="O64" s="57">
        <f>SUM(Q_TBL[[#This Row],[Variable1]:[Variable3]])</f>
        <v>0</v>
      </c>
      <c r="P64" s="57" t="s">
        <v>44</v>
      </c>
      <c r="Q64" s="290"/>
      <c r="R64" s="291"/>
      <c r="S64" s="41"/>
      <c r="T64" s="57"/>
      <c r="U64" s="57"/>
    </row>
    <row r="65" spans="3:21" ht="36" x14ac:dyDescent="0.25">
      <c r="C65" s="54">
        <v>57</v>
      </c>
      <c r="D65" s="55"/>
      <c r="E65" s="56"/>
      <c r="F65" s="56">
        <v>5.17</v>
      </c>
      <c r="G65" s="18" t="s">
        <v>254</v>
      </c>
      <c r="H65" s="18"/>
      <c r="I65" s="49"/>
      <c r="J65" s="18"/>
      <c r="K65" s="60" t="str">
        <f>O45</f>
        <v>No</v>
      </c>
      <c r="L65" s="72">
        <f>L47</f>
        <v>95</v>
      </c>
      <c r="M65" s="60" t="s">
        <v>78</v>
      </c>
      <c r="N65" s="53"/>
      <c r="O65" s="57" t="str">
        <f>IF(Q_TBL[[#This Row],[Variable1]]="Yes",Q_TBL[[#This Row],[Variable2]],Q_TBL[[#This Row],[Variable3]])</f>
        <v>No Work</v>
      </c>
      <c r="P65" s="57" t="s">
        <v>31</v>
      </c>
      <c r="Q65" s="290"/>
      <c r="R65" s="291"/>
      <c r="S65" s="41"/>
      <c r="T65" s="57"/>
      <c r="U65" s="57"/>
    </row>
    <row r="66" spans="3:21" x14ac:dyDescent="0.25">
      <c r="C66" s="54">
        <v>58</v>
      </c>
      <c r="D66" s="55"/>
      <c r="E66" s="56"/>
      <c r="F66" s="56">
        <v>5.18</v>
      </c>
      <c r="G66" s="18" t="s">
        <v>93</v>
      </c>
      <c r="H66" s="18" t="s">
        <v>284</v>
      </c>
      <c r="I66" s="49"/>
      <c r="J66" s="18"/>
      <c r="K66" s="60" t="str">
        <f>O45</f>
        <v>No</v>
      </c>
      <c r="L66" s="67">
        <f>ROUNDUP(L48/205*20/1000,2)</f>
        <v>0</v>
      </c>
      <c r="M66" s="60" t="s">
        <v>78</v>
      </c>
      <c r="N66" s="53"/>
      <c r="O66" s="57" t="str">
        <f>IF(Q_TBL[[#This Row],[Variable1]]="Yes",Q_TBL[[#This Row],[Variable2]],Q_TBL[[#This Row],[Variable3]])</f>
        <v>No Work</v>
      </c>
      <c r="P66" s="57" t="s">
        <v>31</v>
      </c>
      <c r="Q66" s="290"/>
      <c r="R66" s="291"/>
      <c r="S66" s="41"/>
      <c r="T66" s="57"/>
      <c r="U66" s="57"/>
    </row>
    <row r="67" spans="3:21" ht="36" x14ac:dyDescent="0.25">
      <c r="C67" s="54">
        <v>59</v>
      </c>
      <c r="D67" s="55"/>
      <c r="E67" s="56"/>
      <c r="F67" s="56">
        <v>5.19</v>
      </c>
      <c r="G67" s="18" t="s">
        <v>17</v>
      </c>
      <c r="H67" s="22" t="s">
        <v>322</v>
      </c>
      <c r="I67" s="49"/>
      <c r="J67" s="22"/>
      <c r="K67" s="77">
        <v>0.1</v>
      </c>
      <c r="L67" s="67"/>
      <c r="M67" s="60"/>
      <c r="N67" s="53"/>
      <c r="O67" s="57">
        <f>Q_TBL[[#This Row],[Variable1]]</f>
        <v>0.1</v>
      </c>
      <c r="P67" s="57" t="s">
        <v>41</v>
      </c>
      <c r="Q67" s="290"/>
      <c r="R67" s="291"/>
      <c r="S67" s="41"/>
      <c r="T67" s="57"/>
      <c r="U67" s="57"/>
    </row>
    <row r="68" spans="3:21" x14ac:dyDescent="0.25">
      <c r="C68" s="54">
        <v>60</v>
      </c>
      <c r="D68" s="55">
        <v>6</v>
      </c>
      <c r="E68" s="56" t="s">
        <v>307</v>
      </c>
      <c r="F68" s="56"/>
      <c r="G68" s="18"/>
      <c r="H68" s="18"/>
      <c r="I68" s="49"/>
      <c r="J68" s="18"/>
      <c r="K68" s="57"/>
      <c r="L68" s="58"/>
      <c r="M68" s="57"/>
      <c r="N68" s="53"/>
      <c r="O68" s="57"/>
      <c r="P68" s="57"/>
      <c r="Q68" s="290"/>
      <c r="R68" s="291"/>
      <c r="S68" s="41"/>
      <c r="T68" s="57"/>
      <c r="U68" s="57"/>
    </row>
    <row r="69" spans="3:21" x14ac:dyDescent="0.25">
      <c r="C69" s="54">
        <v>61</v>
      </c>
      <c r="D69" s="55"/>
      <c r="E69" s="56" t="s">
        <v>11</v>
      </c>
      <c r="F69" s="56" t="s">
        <v>18</v>
      </c>
      <c r="G69" s="18"/>
      <c r="H69" s="18"/>
      <c r="I69" s="49"/>
      <c r="J69" s="18"/>
      <c r="K69" s="57"/>
      <c r="L69" s="58"/>
      <c r="M69" s="57"/>
      <c r="N69" s="53"/>
      <c r="O69" s="57"/>
      <c r="P69" s="57"/>
      <c r="Q69" s="290"/>
      <c r="R69" s="291"/>
      <c r="S69" s="41"/>
      <c r="T69" s="57"/>
      <c r="U69" s="57"/>
    </row>
    <row r="70" spans="3:21" ht="60" x14ac:dyDescent="0.25">
      <c r="C70" s="54">
        <v>62</v>
      </c>
      <c r="D70" s="55"/>
      <c r="E70" s="56"/>
      <c r="F70" s="56">
        <v>6.01</v>
      </c>
      <c r="G70" s="18" t="s">
        <v>18</v>
      </c>
      <c r="H70" s="18" t="s">
        <v>255</v>
      </c>
      <c r="I70" s="49"/>
      <c r="J70" s="18" t="str">
        <f>"Input ID #"&amp;'Costing Questions'!C$39&amp;":
Detailed Final RCP?
"</f>
        <v xml:space="preserve">Input ID #18:
Detailed Final RCP?
</v>
      </c>
      <c r="K70" s="59">
        <f>'Costing Questions'!G39</f>
        <v>0</v>
      </c>
      <c r="L70" s="67">
        <v>1</v>
      </c>
      <c r="M70" s="60" t="s">
        <v>78</v>
      </c>
      <c r="N70" s="53"/>
      <c r="O70" s="57" t="str">
        <f>IF(Q_TBL[[#This Row],[Variable1]]="Yes",Q_TBL[[#This Row],[Variable2]],Q_TBL[[#This Row],[Variable3]])</f>
        <v>No Work</v>
      </c>
      <c r="P70" s="57" t="s">
        <v>321</v>
      </c>
      <c r="Q70" s="290"/>
      <c r="R70" s="291"/>
      <c r="S70" s="41"/>
      <c r="T70" s="57"/>
      <c r="U70" s="57"/>
    </row>
    <row r="71" spans="3:21" x14ac:dyDescent="0.25">
      <c r="C71" s="54">
        <v>63</v>
      </c>
      <c r="D71" s="55"/>
      <c r="E71" s="56" t="s">
        <v>12</v>
      </c>
      <c r="F71" s="56" t="s">
        <v>19</v>
      </c>
      <c r="G71" s="18"/>
      <c r="H71" s="18"/>
      <c r="I71" s="49"/>
      <c r="J71" s="18"/>
      <c r="K71" s="57"/>
      <c r="L71" s="58"/>
      <c r="M71" s="57"/>
      <c r="N71" s="53"/>
      <c r="O71" s="57"/>
      <c r="P71" s="57"/>
      <c r="Q71" s="290"/>
      <c r="R71" s="291"/>
      <c r="S71" s="41"/>
      <c r="T71" s="57"/>
      <c r="U71" s="57"/>
    </row>
    <row r="72" spans="3:21" ht="60" x14ac:dyDescent="0.25">
      <c r="C72" s="54">
        <v>64</v>
      </c>
      <c r="D72" s="55"/>
      <c r="E72" s="56"/>
      <c r="F72" s="56">
        <v>6.02</v>
      </c>
      <c r="G72" s="18" t="s">
        <v>19</v>
      </c>
      <c r="H72" s="18" t="s">
        <v>256</v>
      </c>
      <c r="I72" s="49"/>
      <c r="J72" s="18" t="str">
        <f>"Input ID #"&amp;'Costing Questions'!C$39&amp;":
Detailed Final RCP?
"</f>
        <v xml:space="preserve">Input ID #18:
Detailed Final RCP?
</v>
      </c>
      <c r="K72" s="59">
        <f>'Costing Questions'!G39</f>
        <v>0</v>
      </c>
      <c r="L72" s="67">
        <v>1</v>
      </c>
      <c r="M72" s="60" t="s">
        <v>78</v>
      </c>
      <c r="N72" s="53"/>
      <c r="O72" s="57" t="str">
        <f>IF(Q_TBL[[#This Row],[Variable1]]="Yes",Q_TBL[[#This Row],[Variable2]],Q_TBL[[#This Row],[Variable3]])</f>
        <v>No Work</v>
      </c>
      <c r="P72" s="57" t="s">
        <v>321</v>
      </c>
      <c r="Q72" s="290"/>
      <c r="R72" s="291"/>
      <c r="S72" s="41"/>
      <c r="T72" s="57"/>
      <c r="U72" s="57"/>
    </row>
    <row r="73" spans="3:21" x14ac:dyDescent="0.25">
      <c r="C73" s="54">
        <v>65</v>
      </c>
      <c r="D73" s="55"/>
      <c r="E73" s="56" t="s">
        <v>13</v>
      </c>
      <c r="F73" s="56" t="s">
        <v>28</v>
      </c>
      <c r="G73" s="18"/>
      <c r="H73" s="18"/>
      <c r="I73" s="49"/>
      <c r="J73" s="18"/>
      <c r="K73" s="57"/>
      <c r="L73" s="58"/>
      <c r="M73" s="57"/>
      <c r="N73" s="53"/>
      <c r="O73" s="57"/>
      <c r="P73" s="57"/>
      <c r="Q73" s="290"/>
      <c r="R73" s="291"/>
      <c r="S73" s="41"/>
      <c r="T73" s="57"/>
      <c r="U73" s="57"/>
    </row>
    <row r="74" spans="3:21" ht="60" x14ac:dyDescent="0.25">
      <c r="C74" s="54">
        <v>66</v>
      </c>
      <c r="D74" s="55"/>
      <c r="E74" s="56"/>
      <c r="F74" s="56">
        <v>6.03</v>
      </c>
      <c r="G74" s="18" t="s">
        <v>20</v>
      </c>
      <c r="H74" s="18" t="s">
        <v>257</v>
      </c>
      <c r="I74" s="49"/>
      <c r="J74" s="18" t="str">
        <f>"Input ID #"&amp;'Costing Questions'!C$39&amp;":
Detailed Final RCP?
"</f>
        <v xml:space="preserve">Input ID #18:
Detailed Final RCP?
</v>
      </c>
      <c r="K74" s="59">
        <f>'Costing Questions'!G39</f>
        <v>0</v>
      </c>
      <c r="L74" s="67">
        <v>1</v>
      </c>
      <c r="M74" s="60" t="s">
        <v>78</v>
      </c>
      <c r="N74" s="53"/>
      <c r="O74" s="57" t="str">
        <f>IF(Q_TBL[[#This Row],[Variable1]]="Yes",Q_TBL[[#This Row],[Variable2]],Q_TBL[[#This Row],[Variable3]])</f>
        <v>No Work</v>
      </c>
      <c r="P74" s="57" t="s">
        <v>321</v>
      </c>
      <c r="Q74" s="290"/>
      <c r="R74" s="291"/>
      <c r="S74" s="41"/>
      <c r="T74" s="57"/>
      <c r="U74" s="57"/>
    </row>
    <row r="75" spans="3:21" x14ac:dyDescent="0.25">
      <c r="C75" s="250">
        <v>67</v>
      </c>
      <c r="D75" s="268">
        <v>7</v>
      </c>
      <c r="E75" s="269" t="s">
        <v>184</v>
      </c>
      <c r="F75" s="269"/>
      <c r="G75" s="252"/>
      <c r="H75" s="252"/>
      <c r="I75" s="49"/>
      <c r="J75" s="18"/>
      <c r="K75" s="57"/>
      <c r="L75" s="58"/>
      <c r="M75" s="57"/>
      <c r="N75" s="53"/>
      <c r="O75" s="57"/>
      <c r="P75" s="57"/>
      <c r="Q75" s="290"/>
      <c r="R75" s="291"/>
      <c r="S75" s="41"/>
      <c r="T75" s="57"/>
      <c r="U75" s="57"/>
    </row>
    <row r="76" spans="3:21" ht="84" x14ac:dyDescent="0.25">
      <c r="C76" s="54">
        <v>68</v>
      </c>
      <c r="D76" s="55"/>
      <c r="E76" s="56"/>
      <c r="F76" s="56">
        <v>7.01</v>
      </c>
      <c r="G76" s="18" t="s">
        <v>258</v>
      </c>
      <c r="H76" s="18" t="s">
        <v>183</v>
      </c>
      <c r="I76" s="49"/>
      <c r="J76" s="18" t="str">
        <f>"Input ID #"&amp;'Costing Questions'!C40&amp;":
Is Post-Closure Monitoring and Inspection required?
"</f>
        <v xml:space="preserve">Input ID #19:
Is Post-Closure Monitoring and Inspection required?
</v>
      </c>
      <c r="K76" s="59">
        <f>'Costing Questions'!G40</f>
        <v>0</v>
      </c>
      <c r="L76" s="67">
        <v>1</v>
      </c>
      <c r="M76" s="60" t="s">
        <v>78</v>
      </c>
      <c r="N76" s="53"/>
      <c r="O76" s="57" t="str">
        <f>IF(Q_TBL[[#This Row],[Variable1]]="Yes",Q_TBL[[#This Row],[Variable2]],Q_TBL[[#This Row],[Variable3]])</f>
        <v>No Work</v>
      </c>
      <c r="P76" s="57" t="s">
        <v>321</v>
      </c>
      <c r="Q76" s="290"/>
      <c r="R76" s="291"/>
      <c r="S76" s="41"/>
      <c r="T76" s="57"/>
      <c r="U76" s="57"/>
    </row>
    <row r="77" spans="3:21" x14ac:dyDescent="0.25">
      <c r="C77" s="54">
        <v>69</v>
      </c>
      <c r="D77" s="55">
        <v>8</v>
      </c>
      <c r="E77" s="56" t="s">
        <v>15</v>
      </c>
      <c r="F77" s="56"/>
      <c r="G77" s="18"/>
      <c r="H77" s="18"/>
      <c r="I77" s="49"/>
      <c r="J77" s="18"/>
      <c r="K77" s="57"/>
      <c r="L77" s="58"/>
      <c r="M77" s="57"/>
      <c r="N77" s="53"/>
      <c r="O77" s="57"/>
      <c r="P77" s="57"/>
      <c r="Q77" s="290"/>
      <c r="R77" s="291"/>
      <c r="S77" s="41"/>
      <c r="T77" s="57"/>
      <c r="U77" s="57"/>
    </row>
    <row r="78" spans="3:21" ht="36" x14ac:dyDescent="0.25">
      <c r="C78" s="54">
        <v>70</v>
      </c>
      <c r="D78" s="55"/>
      <c r="E78" s="56"/>
      <c r="F78" s="56">
        <v>8.01</v>
      </c>
      <c r="G78" s="18" t="s">
        <v>259</v>
      </c>
      <c r="H78" s="18" t="s">
        <v>260</v>
      </c>
      <c r="I78" s="49"/>
      <c r="J78" s="18"/>
      <c r="K78" s="84">
        <v>0.05</v>
      </c>
      <c r="L78" s="85"/>
      <c r="M78" s="60"/>
      <c r="N78" s="53"/>
      <c r="O78" s="84">
        <f>Q_TBL[[#This Row],[Variable1]]</f>
        <v>0.05</v>
      </c>
      <c r="P78" s="58" t="s">
        <v>126</v>
      </c>
      <c r="Q78" s="292"/>
      <c r="R78" s="293"/>
      <c r="S78" s="42"/>
      <c r="T78" s="58"/>
      <c r="U78" s="58"/>
    </row>
    <row r="79" spans="3:21" x14ac:dyDescent="0.25">
      <c r="C79" s="54">
        <v>71</v>
      </c>
      <c r="D79" s="55">
        <v>9</v>
      </c>
      <c r="E79" s="56" t="s">
        <v>185</v>
      </c>
      <c r="F79" s="56"/>
      <c r="G79" s="18"/>
      <c r="H79" s="18"/>
      <c r="I79" s="49"/>
      <c r="J79" s="18"/>
      <c r="K79" s="57"/>
      <c r="L79" s="58"/>
      <c r="M79" s="57"/>
      <c r="N79" s="53"/>
      <c r="O79" s="57"/>
      <c r="P79" s="57"/>
      <c r="Q79" s="290"/>
      <c r="R79" s="291"/>
      <c r="S79" s="41"/>
      <c r="T79" s="57"/>
      <c r="U79" s="57"/>
    </row>
    <row r="80" spans="3:21" ht="36" x14ac:dyDescent="0.25">
      <c r="C80" s="54">
        <v>72</v>
      </c>
      <c r="D80" s="55"/>
      <c r="E80" s="56"/>
      <c r="F80" s="56">
        <v>9.01</v>
      </c>
      <c r="G80" s="18" t="s">
        <v>261</v>
      </c>
      <c r="H80" s="18" t="s">
        <v>262</v>
      </c>
      <c r="I80" s="49"/>
      <c r="J80" s="18"/>
      <c r="K80" s="84">
        <v>0.01</v>
      </c>
      <c r="L80" s="85"/>
      <c r="M80" s="60"/>
      <c r="N80" s="53"/>
      <c r="O80" s="84">
        <f>Q_TBL[[#This Row],[Variable1]]</f>
        <v>0.01</v>
      </c>
      <c r="P80" s="58" t="s">
        <v>126</v>
      </c>
      <c r="Q80" s="292"/>
      <c r="R80" s="293"/>
      <c r="S80" s="42"/>
      <c r="T80" s="58"/>
      <c r="U80" s="58"/>
    </row>
    <row r="81" spans="3:21" x14ac:dyDescent="0.25">
      <c r="C81" s="54">
        <v>73</v>
      </c>
      <c r="D81" s="55">
        <v>10</v>
      </c>
      <c r="E81" s="56" t="s">
        <v>16</v>
      </c>
      <c r="F81" s="56"/>
      <c r="G81" s="18"/>
      <c r="H81" s="18"/>
      <c r="I81" s="49"/>
      <c r="J81" s="18"/>
      <c r="K81" s="57"/>
      <c r="L81" s="58"/>
      <c r="M81" s="57"/>
      <c r="N81" s="53"/>
      <c r="O81" s="57"/>
      <c r="P81" s="57"/>
      <c r="Q81" s="290"/>
      <c r="R81" s="291"/>
      <c r="S81" s="41"/>
      <c r="T81" s="57"/>
      <c r="U81" s="57"/>
    </row>
    <row r="82" spans="3:21" ht="108" x14ac:dyDescent="0.25">
      <c r="C82" s="54">
        <v>74</v>
      </c>
      <c r="D82" s="55"/>
      <c r="E82" s="56"/>
      <c r="F82" s="56">
        <v>10.01</v>
      </c>
      <c r="G82" s="18" t="s">
        <v>40</v>
      </c>
      <c r="H82" s="18" t="s">
        <v>263</v>
      </c>
      <c r="I82" s="49"/>
      <c r="J82" s="18"/>
      <c r="K82" s="84">
        <v>0.01</v>
      </c>
      <c r="L82" s="58"/>
      <c r="M82" s="57"/>
      <c r="N82" s="53"/>
      <c r="O82" s="84">
        <f>Q_TBL[[#This Row],[Variable1]]</f>
        <v>0.01</v>
      </c>
      <c r="P82" s="58" t="s">
        <v>126</v>
      </c>
      <c r="Q82" s="290"/>
      <c r="R82" s="291"/>
      <c r="S82" s="41"/>
      <c r="T82" s="57"/>
      <c r="U82" s="57"/>
    </row>
    <row r="83" spans="3:21" x14ac:dyDescent="0.25">
      <c r="C83" s="54">
        <v>75</v>
      </c>
      <c r="D83" s="55">
        <v>11</v>
      </c>
      <c r="E83" s="56" t="s">
        <v>29</v>
      </c>
      <c r="F83" s="56"/>
      <c r="G83" s="18"/>
      <c r="H83" s="18"/>
      <c r="I83" s="49"/>
      <c r="J83" s="18"/>
      <c r="K83" s="57"/>
      <c r="L83" s="58"/>
      <c r="M83" s="57"/>
      <c r="N83" s="53"/>
      <c r="O83" s="57"/>
      <c r="P83" s="57"/>
      <c r="Q83" s="290"/>
      <c r="R83" s="291"/>
      <c r="S83" s="41"/>
      <c r="T83" s="57"/>
      <c r="U83" s="57"/>
    </row>
    <row r="84" spans="3:21" ht="84" x14ac:dyDescent="0.25">
      <c r="C84" s="54">
        <v>76</v>
      </c>
      <c r="D84" s="55"/>
      <c r="E84" s="56"/>
      <c r="F84" s="56">
        <v>11.01</v>
      </c>
      <c r="G84" s="18" t="s">
        <v>264</v>
      </c>
      <c r="H84" s="18" t="s">
        <v>265</v>
      </c>
      <c r="I84" s="49"/>
      <c r="J84" s="18"/>
      <c r="K84" s="84">
        <v>0.15</v>
      </c>
      <c r="L84" s="85"/>
      <c r="M84" s="60"/>
      <c r="N84" s="53"/>
      <c r="O84" s="84">
        <f>Q_TBL[[#This Row],[Variable1]]</f>
        <v>0.15</v>
      </c>
      <c r="P84" s="58" t="s">
        <v>126</v>
      </c>
      <c r="Q84" s="292"/>
      <c r="R84" s="293"/>
      <c r="S84" s="42"/>
      <c r="T84" s="58"/>
      <c r="U84" s="58"/>
    </row>
    <row r="85" spans="3:21" x14ac:dyDescent="0.25">
      <c r="C85" s="54">
        <v>77</v>
      </c>
      <c r="D85" s="55">
        <v>12</v>
      </c>
      <c r="E85" s="56" t="s">
        <v>335</v>
      </c>
      <c r="F85" s="56"/>
      <c r="G85" s="18"/>
      <c r="H85" s="18"/>
      <c r="I85" s="49"/>
      <c r="J85" s="18"/>
      <c r="K85" s="57"/>
      <c r="L85" s="58"/>
      <c r="M85" s="57"/>
      <c r="N85" s="53"/>
      <c r="O85" s="57"/>
      <c r="P85" s="57"/>
      <c r="Q85" s="290"/>
      <c r="R85" s="291"/>
      <c r="S85" s="41"/>
      <c r="T85" s="57"/>
      <c r="U85" s="57"/>
    </row>
    <row r="86" spans="3:21" x14ac:dyDescent="0.25">
      <c r="C86" s="54">
        <v>78</v>
      </c>
      <c r="D86" s="55"/>
      <c r="E86" s="56"/>
      <c r="F86" s="56">
        <v>12.01</v>
      </c>
      <c r="G86" s="18" t="s">
        <v>339</v>
      </c>
      <c r="H86" s="18"/>
      <c r="I86" s="49"/>
      <c r="J86" s="18"/>
      <c r="K86" s="59" t="b">
        <f>'Project Specific Questions'!H51&gt;1</f>
        <v>0</v>
      </c>
      <c r="L86" s="67">
        <v>1</v>
      </c>
      <c r="M86" s="60" t="s">
        <v>78</v>
      </c>
      <c r="N86" s="53"/>
      <c r="O86" s="57" t="str">
        <f>IF(Q_TBL[[#This Row],[Variable1]]=TRUE,Q_TBL[[#This Row],[Variable2]],Q_TBL[[#This Row],[Variable3]])</f>
        <v>No Work</v>
      </c>
      <c r="P86" s="57" t="s">
        <v>321</v>
      </c>
      <c r="Q86" s="292"/>
      <c r="R86" s="293"/>
      <c r="S86" s="42"/>
      <c r="T86" s="58"/>
      <c r="U86" s="58"/>
    </row>
    <row r="87" spans="3:21" x14ac:dyDescent="0.25">
      <c r="C87" s="46">
        <v>79</v>
      </c>
      <c r="D87" s="47" t="s">
        <v>94</v>
      </c>
      <c r="E87" s="48"/>
      <c r="F87" s="48"/>
      <c r="G87" s="21"/>
      <c r="H87" s="21"/>
      <c r="I87" s="49"/>
      <c r="J87" s="18"/>
      <c r="K87" s="87"/>
      <c r="L87" s="88"/>
      <c r="M87" s="87"/>
      <c r="N87" s="53"/>
      <c r="O87" s="52"/>
      <c r="P87" s="51"/>
      <c r="Q87" s="292"/>
      <c r="R87" s="293"/>
      <c r="S87" s="43"/>
      <c r="T87" s="51"/>
      <c r="U87" s="51"/>
    </row>
  </sheetData>
  <sheetProtection sheet="1" objects="1" scenarios="1"/>
  <phoneticPr fontId="8" type="noConversion"/>
  <conditionalFormatting sqref="C9:H87 J9:M87 O9:P87 S9:U87">
    <cfRule type="expression" dxfId="56" priority="61">
      <formula>NOT(ISBLANK($G9))</formula>
    </cfRule>
    <cfRule type="expression" dxfId="55" priority="63">
      <formula>ISNUMBER($D9)</formula>
    </cfRule>
    <cfRule type="expression" dxfId="54" priority="65">
      <formula>AND(ISBLANK($D9),ISTEXT($E9))</formula>
    </cfRule>
  </conditionalFormatting>
  <pageMargins left="0.51181102362204722" right="0.51181102362204722" top="0.74803149606299213" bottom="0.55118110236220474" header="0.31496062992125984" footer="0.31496062992125984"/>
  <pageSetup scale="74" fitToHeight="12" orientation="landscape" horizontalDpi="1200" verticalDpi="1200" r:id="rId1"/>
  <headerFooter>
    <oddHeader>&amp;R&amp;K00-027Mackenzie Valley Land-Use Security Estimate Tool</oddHeader>
    <oddFooter>&amp;C&amp;K00-033BCL/ DXB&amp;R&amp;K00-033Page &amp;P of &amp;N</oddFooter>
  </headerFooter>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28ED5-852A-47D6-A274-964A2AAD6874}">
  <sheetPr codeName="Sheet6">
    <tabColor theme="0" tint="-0.249977111117893"/>
    <pageSetUpPr fitToPage="1"/>
  </sheetPr>
  <dimension ref="A1:P115"/>
  <sheetViews>
    <sheetView zoomScaleNormal="100" workbookViewId="0">
      <pane xSplit="8" ySplit="7" topLeftCell="I8" activePane="bottomRight" state="frozen"/>
      <selection activeCell="H5" sqref="H5"/>
      <selection pane="topRight" activeCell="H5" sqref="H5"/>
      <selection pane="bottomLeft" activeCell="H5" sqref="H5"/>
      <selection pane="bottomRight"/>
    </sheetView>
  </sheetViews>
  <sheetFormatPr defaultColWidth="8.77734375" defaultRowHeight="18" outlineLevelRow="1" outlineLevelCol="1" x14ac:dyDescent="0.3"/>
  <cols>
    <col min="1" max="1" width="1.6640625" style="8" customWidth="1"/>
    <col min="2" max="2" width="3.6640625" style="32" customWidth="1"/>
    <col min="3" max="3" width="6.6640625" style="2" customWidth="1"/>
    <col min="4" max="5" width="8.6640625" style="1" customWidth="1"/>
    <col min="6" max="6" width="6.6640625" style="1" customWidth="1"/>
    <col min="7" max="7" width="36.6640625" style="3" customWidth="1"/>
    <col min="8" max="8" width="36.6640625" style="3" customWidth="1" outlineLevel="1"/>
    <col min="9" max="9" width="1.6640625" style="3" customWidth="1"/>
    <col min="10" max="11" width="12.6640625" style="3" customWidth="1"/>
    <col min="12" max="13" width="12.6640625" style="6" customWidth="1"/>
    <col min="14" max="14" width="1.6640625" style="6" customWidth="1"/>
    <col min="15" max="16" width="12.6640625" style="1" customWidth="1"/>
    <col min="17" max="17" width="1.6640625" style="1" customWidth="1"/>
    <col min="18" max="16384" width="8.77734375" style="1"/>
  </cols>
  <sheetData>
    <row r="1" spans="1:16" x14ac:dyDescent="0.3">
      <c r="A1" s="295" t="str">
        <f>'Costing Questions'!A1</f>
        <v>Security Estimate Tool - DRAFT 3 - Blank</v>
      </c>
    </row>
    <row r="3" spans="1:16" outlineLevel="1" x14ac:dyDescent="0.3">
      <c r="C3" s="123" t="s">
        <v>145</v>
      </c>
    </row>
    <row r="4" spans="1:16" outlineLevel="1" x14ac:dyDescent="0.3">
      <c r="B4" s="237"/>
      <c r="C4" s="9" t="s">
        <v>26</v>
      </c>
    </row>
    <row r="5" spans="1:16" outlineLevel="1" x14ac:dyDescent="0.3">
      <c r="B5" s="262"/>
      <c r="C5" s="9" t="s">
        <v>42</v>
      </c>
    </row>
    <row r="7" spans="1:16" s="13" customFormat="1" ht="36" x14ac:dyDescent="0.3">
      <c r="A7" s="11"/>
      <c r="B7" s="33"/>
      <c r="C7" s="209" t="s">
        <v>10</v>
      </c>
      <c r="D7" s="209" t="s">
        <v>209</v>
      </c>
      <c r="E7" s="209" t="s">
        <v>208</v>
      </c>
      <c r="F7" s="209" t="s">
        <v>210</v>
      </c>
      <c r="G7" s="209" t="s">
        <v>22</v>
      </c>
      <c r="H7" s="209" t="s">
        <v>72</v>
      </c>
      <c r="I7" s="124" t="s">
        <v>0</v>
      </c>
      <c r="J7" s="209" t="s">
        <v>84</v>
      </c>
      <c r="K7" s="209" t="s">
        <v>167</v>
      </c>
      <c r="L7" s="210" t="s">
        <v>187</v>
      </c>
      <c r="M7" s="210" t="s">
        <v>168</v>
      </c>
      <c r="N7" s="45" t="s">
        <v>69</v>
      </c>
      <c r="O7" s="210" t="s">
        <v>3</v>
      </c>
      <c r="P7" s="210" t="s">
        <v>54</v>
      </c>
    </row>
    <row r="8" spans="1:16" s="2" customFormat="1" outlineLevel="1" x14ac:dyDescent="0.3">
      <c r="A8" s="28"/>
      <c r="B8" s="34"/>
      <c r="C8" s="125">
        <v>0</v>
      </c>
      <c r="D8" s="126">
        <v>0</v>
      </c>
      <c r="E8" s="127" t="s">
        <v>60</v>
      </c>
      <c r="F8" s="127"/>
      <c r="G8" s="19"/>
      <c r="H8" s="19"/>
      <c r="I8" s="39"/>
      <c r="J8" s="21"/>
      <c r="K8" s="128"/>
      <c r="L8" s="94"/>
      <c r="M8" s="90"/>
      <c r="N8" s="129"/>
      <c r="O8" s="94"/>
      <c r="P8" s="130"/>
    </row>
    <row r="9" spans="1:16" s="2" customFormat="1" outlineLevel="1" x14ac:dyDescent="0.3">
      <c r="A9" s="28"/>
      <c r="B9" s="34"/>
      <c r="C9" s="125">
        <v>0.01</v>
      </c>
      <c r="D9" s="126"/>
      <c r="E9" s="127" t="s">
        <v>11</v>
      </c>
      <c r="F9" s="127" t="s">
        <v>61</v>
      </c>
      <c r="G9" s="19"/>
      <c r="H9" s="19"/>
      <c r="I9" s="39"/>
      <c r="J9" s="21"/>
      <c r="K9" s="128"/>
      <c r="L9" s="94"/>
      <c r="M9" s="90"/>
      <c r="N9" s="129"/>
      <c r="O9" s="94"/>
      <c r="P9" s="130"/>
    </row>
    <row r="10" spans="1:16" s="2" customFormat="1" ht="36" outlineLevel="1" x14ac:dyDescent="0.3">
      <c r="A10" s="28"/>
      <c r="B10" s="34"/>
      <c r="C10" s="125">
        <v>0.02</v>
      </c>
      <c r="D10" s="126"/>
      <c r="E10" s="127"/>
      <c r="F10" s="127"/>
      <c r="G10" s="19" t="s">
        <v>214</v>
      </c>
      <c r="H10" s="19" t="s">
        <v>311</v>
      </c>
      <c r="I10" s="39"/>
      <c r="J10" s="21"/>
      <c r="K10" s="128"/>
      <c r="L10" s="94"/>
      <c r="M10" s="131">
        <v>120</v>
      </c>
      <c r="N10" s="129"/>
      <c r="O10" s="94" t="s">
        <v>64</v>
      </c>
      <c r="P10" s="131">
        <f>RATE_TBL[[#This Row],[Variable3 - (e.g. quote or calc cost)]]</f>
        <v>120</v>
      </c>
    </row>
    <row r="11" spans="1:16" s="2" customFormat="1" ht="60" outlineLevel="1" x14ac:dyDescent="0.3">
      <c r="A11" s="28"/>
      <c r="B11" s="34"/>
      <c r="C11" s="125">
        <v>0.03</v>
      </c>
      <c r="D11" s="126"/>
      <c r="E11" s="127"/>
      <c r="F11" s="127"/>
      <c r="G11" s="19" t="s">
        <v>221</v>
      </c>
      <c r="H11" s="19" t="s">
        <v>215</v>
      </c>
      <c r="I11" s="39"/>
      <c r="J11" s="21"/>
      <c r="K11" s="131">
        <v>34.19</v>
      </c>
      <c r="L11" s="175">
        <v>2</v>
      </c>
      <c r="M11" s="131">
        <f>RATE_TBL[[#This Row],[Variable1 - (e.g. daily work production)]]*RATE_TBL[[#This Row],[Variable2 - (e.g. daily/ unit cost)
]]</f>
        <v>68.38</v>
      </c>
      <c r="N11" s="129"/>
      <c r="O11" s="94" t="s">
        <v>64</v>
      </c>
      <c r="P11" s="131">
        <f>RATE_TBL[[#This Row],[Variable3 - (e.g. quote or calc cost)]]</f>
        <v>68.38</v>
      </c>
    </row>
    <row r="12" spans="1:16" s="2" customFormat="1" ht="60" outlineLevel="1" x14ac:dyDescent="0.3">
      <c r="A12" s="28"/>
      <c r="B12" s="34"/>
      <c r="C12" s="125">
        <v>0.04</v>
      </c>
      <c r="D12" s="126"/>
      <c r="E12" s="127"/>
      <c r="F12" s="127"/>
      <c r="G12" s="19" t="s">
        <v>159</v>
      </c>
      <c r="H12" s="19" t="s">
        <v>211</v>
      </c>
      <c r="I12" s="39"/>
      <c r="J12" s="21"/>
      <c r="K12" s="131">
        <v>25.19</v>
      </c>
      <c r="L12" s="175">
        <v>2</v>
      </c>
      <c r="M12" s="131">
        <f>RATE_TBL[[#This Row],[Variable1 - (e.g. daily work production)]]*RATE_TBL[[#This Row],[Variable2 - (e.g. daily/ unit cost)
]]</f>
        <v>50.38</v>
      </c>
      <c r="N12" s="129"/>
      <c r="O12" s="94" t="s">
        <v>64</v>
      </c>
      <c r="P12" s="131">
        <f>RATE_TBL[[#This Row],[Variable3 - (e.g. quote or calc cost)]]</f>
        <v>50.38</v>
      </c>
    </row>
    <row r="13" spans="1:16" s="2" customFormat="1" ht="48" outlineLevel="1" x14ac:dyDescent="0.3">
      <c r="A13" s="28"/>
      <c r="B13" s="34"/>
      <c r="C13" s="125">
        <v>0.05</v>
      </c>
      <c r="D13" s="126"/>
      <c r="E13" s="127"/>
      <c r="F13" s="127"/>
      <c r="G13" s="19" t="s">
        <v>63</v>
      </c>
      <c r="H13" s="19" t="s">
        <v>216</v>
      </c>
      <c r="I13" s="39"/>
      <c r="J13" s="21"/>
      <c r="K13" s="94">
        <v>1</v>
      </c>
      <c r="L13" s="94">
        <v>4</v>
      </c>
      <c r="M13" s="130">
        <f>(RATE_TBL[[#This Row],[Variable1 - (e.g. daily work production)]]*M11+RATE_TBL[[#This Row],[Variable2 - (e.g. daily/ unit cost)
]]*M12)*12</f>
        <v>3238.7999999999997</v>
      </c>
      <c r="N13" s="129"/>
      <c r="O13" s="94" t="s">
        <v>109</v>
      </c>
      <c r="P13" s="130">
        <f>RATE_TBL[[#This Row],[Variable3 - (e.g. quote or calc cost)]]</f>
        <v>3238.7999999999997</v>
      </c>
    </row>
    <row r="14" spans="1:16" s="2" customFormat="1" outlineLevel="1" x14ac:dyDescent="0.3">
      <c r="A14" s="28"/>
      <c r="B14" s="34"/>
      <c r="C14" s="125">
        <v>6.0000000000000005E-2</v>
      </c>
      <c r="D14" s="126"/>
      <c r="E14" s="127" t="s">
        <v>12</v>
      </c>
      <c r="F14" s="127" t="s">
        <v>62</v>
      </c>
      <c r="G14" s="19"/>
      <c r="H14" s="19"/>
      <c r="I14" s="39"/>
      <c r="J14" s="21"/>
      <c r="K14" s="128"/>
      <c r="L14" s="94"/>
      <c r="M14" s="90"/>
      <c r="N14" s="129"/>
      <c r="O14" s="94"/>
      <c r="P14" s="130"/>
    </row>
    <row r="15" spans="1:16" s="2" customFormat="1" ht="132" outlineLevel="1" x14ac:dyDescent="0.3">
      <c r="A15" s="28"/>
      <c r="B15" s="34"/>
      <c r="C15" s="125">
        <v>7.0000000000000007E-2</v>
      </c>
      <c r="D15" s="126"/>
      <c r="E15" s="127"/>
      <c r="F15" s="127"/>
      <c r="G15" s="19" t="s">
        <v>160</v>
      </c>
      <c r="H15" s="19" t="s">
        <v>162</v>
      </c>
      <c r="I15" s="39"/>
      <c r="J15" s="21"/>
      <c r="K15" s="132">
        <v>205.96</v>
      </c>
      <c r="L15" s="133">
        <f>(175+185)/2*1.02</f>
        <v>183.6</v>
      </c>
      <c r="M15" s="132">
        <v>151</v>
      </c>
      <c r="N15" s="129"/>
      <c r="O15" s="94" t="s">
        <v>64</v>
      </c>
      <c r="P15" s="131">
        <f>RATE_TBL[[#This Row],[Variable2 - (e.g. daily/ unit cost)
]]</f>
        <v>183.6</v>
      </c>
    </row>
    <row r="16" spans="1:16" s="2" customFormat="1" ht="36" outlineLevel="1" x14ac:dyDescent="0.3">
      <c r="A16" s="28"/>
      <c r="B16" s="34"/>
      <c r="C16" s="125">
        <v>0.08</v>
      </c>
      <c r="D16" s="126"/>
      <c r="E16" s="127"/>
      <c r="F16" s="127"/>
      <c r="G16" s="19" t="s">
        <v>161</v>
      </c>
      <c r="H16" s="19" t="s">
        <v>163</v>
      </c>
      <c r="I16" s="39"/>
      <c r="J16" s="21"/>
      <c r="K16" s="132">
        <v>243.9</v>
      </c>
      <c r="L16" s="133">
        <f>(250+280)/2*1.02</f>
        <v>270.3</v>
      </c>
      <c r="M16" s="134">
        <v>228</v>
      </c>
      <c r="N16" s="129"/>
      <c r="O16" s="94" t="s">
        <v>64</v>
      </c>
      <c r="P16" s="131">
        <f>RATE_TBL[[#This Row],[Variable2 - (e.g. daily/ unit cost)
]]</f>
        <v>270.3</v>
      </c>
    </row>
    <row r="17" spans="1:16" s="2" customFormat="1" ht="36" outlineLevel="1" x14ac:dyDescent="0.3">
      <c r="A17" s="28"/>
      <c r="B17" s="34"/>
      <c r="C17" s="125">
        <v>0.09</v>
      </c>
      <c r="D17" s="126"/>
      <c r="E17" s="127"/>
      <c r="F17" s="127"/>
      <c r="G17" s="19" t="s">
        <v>213</v>
      </c>
      <c r="H17" s="19" t="s">
        <v>163</v>
      </c>
      <c r="I17" s="39"/>
      <c r="J17" s="21"/>
      <c r="K17" s="132">
        <v>222.22000000000003</v>
      </c>
      <c r="L17" s="133">
        <f>(180+225)/2*1.02</f>
        <v>206.55</v>
      </c>
      <c r="M17" s="134">
        <v>201</v>
      </c>
      <c r="N17" s="129"/>
      <c r="O17" s="94" t="s">
        <v>64</v>
      </c>
      <c r="P17" s="131">
        <f>RATE_TBL[[#This Row],[Variable2 - (e.g. daily/ unit cost)
]]</f>
        <v>206.55</v>
      </c>
    </row>
    <row r="18" spans="1:16" s="2" customFormat="1" ht="60" outlineLevel="1" x14ac:dyDescent="0.3">
      <c r="A18" s="28"/>
      <c r="B18" s="34"/>
      <c r="C18" s="125">
        <v>9.9999999999999992E-2</v>
      </c>
      <c r="D18" s="126"/>
      <c r="E18" s="127"/>
      <c r="F18" s="127"/>
      <c r="G18" s="19" t="s">
        <v>108</v>
      </c>
      <c r="H18" s="19" t="s">
        <v>212</v>
      </c>
      <c r="I18" s="39"/>
      <c r="J18" s="21"/>
      <c r="K18" s="94">
        <v>1</v>
      </c>
      <c r="L18" s="94">
        <v>2</v>
      </c>
      <c r="M18" s="135">
        <f>(P15*RATE_TBL[[#This Row],[Variable1 - (e.g. daily work production)]]+P16*RATE_TBL[[#This Row],[Variable2 - (e.g. daily/ unit cost)
]]+P17*RATE_TBL[[#This Row],[Variable1 - (e.g. daily work production)]])*12</f>
        <v>11169</v>
      </c>
      <c r="N18" s="129"/>
      <c r="O18" s="94" t="s">
        <v>109</v>
      </c>
      <c r="P18" s="131">
        <f>RATE_TBL[[#This Row],[Variable3 - (e.g. quote or calc cost)]]</f>
        <v>11169</v>
      </c>
    </row>
    <row r="19" spans="1:16" s="2" customFormat="1" outlineLevel="1" x14ac:dyDescent="0.3">
      <c r="A19" s="28"/>
      <c r="B19" s="34"/>
      <c r="C19" s="125">
        <v>0.10999999999999999</v>
      </c>
      <c r="D19" s="126"/>
      <c r="E19" s="127" t="s">
        <v>13</v>
      </c>
      <c r="F19" s="127" t="s">
        <v>79</v>
      </c>
      <c r="G19" s="19"/>
      <c r="H19" s="19"/>
      <c r="I19" s="39"/>
      <c r="J19" s="21"/>
      <c r="K19" s="128"/>
      <c r="L19" s="94"/>
      <c r="M19" s="90"/>
      <c r="N19" s="129"/>
      <c r="O19" s="94"/>
      <c r="P19" s="130"/>
    </row>
    <row r="20" spans="1:16" s="2" customFormat="1" ht="72" outlineLevel="1" x14ac:dyDescent="0.3">
      <c r="A20" s="28"/>
      <c r="B20" s="34"/>
      <c r="C20" s="125">
        <v>0.11999999999999998</v>
      </c>
      <c r="D20" s="126"/>
      <c r="E20" s="127"/>
      <c r="F20" s="127"/>
      <c r="G20" s="19" t="s">
        <v>127</v>
      </c>
      <c r="H20" s="19" t="s">
        <v>217</v>
      </c>
      <c r="I20" s="39"/>
      <c r="J20" s="21"/>
      <c r="K20" s="131">
        <f>(155+185)/2*1.02</f>
        <v>173.4</v>
      </c>
      <c r="L20" s="136">
        <f>50*0.85</f>
        <v>42.5</v>
      </c>
      <c r="M20" s="137">
        <v>30</v>
      </c>
      <c r="N20" s="129"/>
      <c r="O20" s="94" t="s">
        <v>64</v>
      </c>
      <c r="P20" s="131">
        <f>RATE_TBL[[#This Row],[Variable1 - (e.g. daily work production)]]</f>
        <v>173.4</v>
      </c>
    </row>
    <row r="21" spans="1:16" s="2" customFormat="1" ht="84" outlineLevel="1" x14ac:dyDescent="0.3">
      <c r="A21" s="28"/>
      <c r="B21" s="34"/>
      <c r="C21" s="138">
        <v>0.12999999999999998</v>
      </c>
      <c r="D21" s="47"/>
      <c r="E21" s="48"/>
      <c r="F21" s="48"/>
      <c r="G21" s="21" t="s">
        <v>80</v>
      </c>
      <c r="H21" s="19" t="s">
        <v>218</v>
      </c>
      <c r="I21" s="39"/>
      <c r="J21" s="21"/>
      <c r="K21" s="130">
        <f>1800+500+200</f>
        <v>2500</v>
      </c>
      <c r="L21" s="136">
        <f>ROUND(150*0.85/0.62,0)</f>
        <v>206</v>
      </c>
      <c r="M21" s="139">
        <f>ROUND(2500/2.2,0)</f>
        <v>1136</v>
      </c>
      <c r="N21" s="129"/>
      <c r="O21" s="94" t="s">
        <v>64</v>
      </c>
      <c r="P21" s="131">
        <f>RATE_TBL[[#This Row],[Variable1 - (e.g. daily work production)]]</f>
        <v>2500</v>
      </c>
    </row>
    <row r="22" spans="1:16" s="2" customFormat="1" outlineLevel="1" x14ac:dyDescent="0.3">
      <c r="A22" s="28"/>
      <c r="B22" s="34"/>
      <c r="C22" s="138">
        <v>0.13999999999999999</v>
      </c>
      <c r="D22" s="47"/>
      <c r="E22" s="48"/>
      <c r="F22" s="48"/>
      <c r="G22" s="21" t="s">
        <v>82</v>
      </c>
      <c r="H22" s="19" t="s">
        <v>164</v>
      </c>
      <c r="I22" s="39"/>
      <c r="J22" s="21"/>
      <c r="K22" s="58"/>
      <c r="L22" s="136"/>
      <c r="M22" s="130">
        <f>445/2</f>
        <v>222.5</v>
      </c>
      <c r="N22" s="129"/>
      <c r="O22" s="94" t="s">
        <v>83</v>
      </c>
      <c r="P22" s="131">
        <f>RATE_TBL[[#This Row],[Variable3 - (e.g. quote or calc cost)]]</f>
        <v>222.5</v>
      </c>
    </row>
    <row r="23" spans="1:16" s="2" customFormat="1" outlineLevel="1" x14ac:dyDescent="0.3">
      <c r="A23" s="28"/>
      <c r="B23" s="34"/>
      <c r="C23" s="138">
        <v>0.15</v>
      </c>
      <c r="D23" s="47"/>
      <c r="E23" s="48"/>
      <c r="F23" s="48"/>
      <c r="G23" s="21" t="s">
        <v>111</v>
      </c>
      <c r="H23" s="19" t="s">
        <v>222</v>
      </c>
      <c r="I23" s="39"/>
      <c r="J23" s="21"/>
      <c r="K23" s="58"/>
      <c r="L23" s="136"/>
      <c r="M23" s="130">
        <v>75</v>
      </c>
      <c r="N23" s="129"/>
      <c r="O23" s="94" t="s">
        <v>83</v>
      </c>
      <c r="P23" s="131">
        <f>RATE_TBL[[#This Row],[Variable3 - (e.g. quote or calc cost)]]</f>
        <v>75</v>
      </c>
    </row>
    <row r="24" spans="1:16" s="2" customFormat="1" ht="48" outlineLevel="1" x14ac:dyDescent="0.3">
      <c r="A24" s="28"/>
      <c r="B24" s="34"/>
      <c r="C24" s="138">
        <v>0.16</v>
      </c>
      <c r="D24" s="47"/>
      <c r="E24" s="48"/>
      <c r="F24" s="48"/>
      <c r="G24" s="21" t="s">
        <v>121</v>
      </c>
      <c r="H24" s="19" t="s">
        <v>219</v>
      </c>
      <c r="I24" s="39"/>
      <c r="J24" s="21"/>
      <c r="K24" s="58"/>
      <c r="L24" s="136"/>
      <c r="M24" s="130">
        <v>225.5</v>
      </c>
      <c r="N24" s="129"/>
      <c r="O24" s="94" t="s">
        <v>110</v>
      </c>
      <c r="P24" s="131">
        <f>RATE_TBL[[#This Row],[Variable3 - (e.g. quote or calc cost)]]</f>
        <v>225.5</v>
      </c>
    </row>
    <row r="25" spans="1:16" s="2" customFormat="1" ht="48" outlineLevel="1" x14ac:dyDescent="0.3">
      <c r="A25" s="28"/>
      <c r="B25" s="34"/>
      <c r="C25" s="138">
        <v>0.17</v>
      </c>
      <c r="D25" s="47"/>
      <c r="E25" s="48"/>
      <c r="F25" s="48"/>
      <c r="G25" s="21" t="s">
        <v>122</v>
      </c>
      <c r="H25" s="19" t="s">
        <v>165</v>
      </c>
      <c r="I25" s="39"/>
      <c r="J25" s="21"/>
      <c r="K25" s="140">
        <v>385</v>
      </c>
      <c r="L25" s="177">
        <v>2</v>
      </c>
      <c r="M25" s="130">
        <f>RATE_TBL[[#This Row],[Variable1 - (e.g. daily work production)]]/RATE_TBL[[#This Row],[Variable2 - (e.g. daily/ unit cost)
]]</f>
        <v>192.5</v>
      </c>
      <c r="N25" s="129"/>
      <c r="O25" s="94" t="s">
        <v>110</v>
      </c>
      <c r="P25" s="131">
        <f>RATE_TBL[[#This Row],[Variable3 - (e.g. quote or calc cost)]]</f>
        <v>192.5</v>
      </c>
    </row>
    <row r="26" spans="1:16" s="2" customFormat="1" ht="48" outlineLevel="1" x14ac:dyDescent="0.3">
      <c r="A26" s="28"/>
      <c r="B26" s="34"/>
      <c r="C26" s="138">
        <v>0.18000000000000002</v>
      </c>
      <c r="D26" s="47"/>
      <c r="E26" s="48"/>
      <c r="F26" s="48"/>
      <c r="G26" s="21" t="s">
        <v>123</v>
      </c>
      <c r="H26" s="19" t="s">
        <v>220</v>
      </c>
      <c r="I26" s="39"/>
      <c r="J26" s="21"/>
      <c r="K26" s="58"/>
      <c r="L26" s="136"/>
      <c r="M26" s="130">
        <v>1.5</v>
      </c>
      <c r="N26" s="129"/>
      <c r="O26" s="94" t="s">
        <v>43</v>
      </c>
      <c r="P26" s="131">
        <f>RATE_TBL[[#This Row],[Variable3 - (e.g. quote or calc cost)]]</f>
        <v>1.5</v>
      </c>
    </row>
    <row r="27" spans="1:16" s="2" customFormat="1" ht="24" outlineLevel="1" x14ac:dyDescent="0.3">
      <c r="A27" s="28"/>
      <c r="B27" s="34"/>
      <c r="C27" s="138">
        <v>0.19</v>
      </c>
      <c r="D27" s="47"/>
      <c r="E27" s="48"/>
      <c r="F27" s="48"/>
      <c r="G27" s="21" t="s">
        <v>357</v>
      </c>
      <c r="H27" s="19" t="s">
        <v>358</v>
      </c>
      <c r="I27" s="39"/>
      <c r="J27" s="21"/>
      <c r="K27" s="58"/>
      <c r="L27" s="136"/>
      <c r="M27" s="130">
        <v>1000</v>
      </c>
      <c r="N27" s="129"/>
      <c r="O27" s="94" t="s">
        <v>32</v>
      </c>
      <c r="P27" s="131">
        <f>RATE_TBL[[#This Row],[Variable3 - (e.g. quote or calc cost)]]</f>
        <v>1000</v>
      </c>
    </row>
    <row r="28" spans="1:16" s="2" customFormat="1" outlineLevel="1" x14ac:dyDescent="0.3">
      <c r="A28" s="28"/>
      <c r="B28" s="34"/>
      <c r="C28" s="138">
        <f>C27+0.01</f>
        <v>0.2</v>
      </c>
      <c r="D28" s="47"/>
      <c r="E28" s="48" t="s">
        <v>14</v>
      </c>
      <c r="F28" s="48" t="s">
        <v>327</v>
      </c>
      <c r="G28" s="21"/>
      <c r="H28" s="19"/>
      <c r="I28" s="39"/>
      <c r="J28" s="21"/>
      <c r="K28" s="130"/>
      <c r="L28" s="136"/>
      <c r="M28" s="139"/>
      <c r="N28" s="129"/>
      <c r="O28" s="94"/>
      <c r="P28" s="131"/>
    </row>
    <row r="29" spans="1:16" s="2" customFormat="1" ht="48" outlineLevel="1" x14ac:dyDescent="0.3">
      <c r="A29" s="28"/>
      <c r="B29" s="34"/>
      <c r="C29" s="138">
        <f t="shared" ref="C29:C36" si="0">C28+0.01</f>
        <v>0.21000000000000002</v>
      </c>
      <c r="D29" s="47"/>
      <c r="E29" s="48"/>
      <c r="F29" s="48"/>
      <c r="G29" s="21" t="s">
        <v>223</v>
      </c>
      <c r="H29" s="19" t="s">
        <v>312</v>
      </c>
      <c r="I29" s="39"/>
      <c r="J29" s="21"/>
      <c r="K29" s="58"/>
      <c r="L29" s="261">
        <f>'Project Specific Questions'!H9</f>
        <v>0</v>
      </c>
      <c r="M29" s="130">
        <v>13000</v>
      </c>
      <c r="N29" s="129"/>
      <c r="O29" s="94" t="s">
        <v>32</v>
      </c>
      <c r="P29" s="131">
        <f>IF(RATE_TBL[[#This Row],[Variable2 - (e.g. daily/ unit cost)
]]&gt;0,RATE_TBL[[#This Row],[Variable2 - (e.g. daily/ unit cost)
]],RATE_TBL[[#This Row],[Variable3 - (e.g. quote or calc cost)]])</f>
        <v>13000</v>
      </c>
    </row>
    <row r="30" spans="1:16" s="2" customFormat="1" ht="36" outlineLevel="1" x14ac:dyDescent="0.3">
      <c r="A30" s="28"/>
      <c r="B30" s="34"/>
      <c r="C30" s="138">
        <f t="shared" si="0"/>
        <v>0.22000000000000003</v>
      </c>
      <c r="D30" s="47"/>
      <c r="E30" s="48"/>
      <c r="F30" s="48"/>
      <c r="G30" s="21" t="s">
        <v>112</v>
      </c>
      <c r="H30" s="19" t="s">
        <v>166</v>
      </c>
      <c r="I30" s="39"/>
      <c r="J30" s="21"/>
      <c r="K30" s="58"/>
      <c r="L30" s="261">
        <f>'Project Specific Questions'!H18</f>
        <v>0</v>
      </c>
      <c r="M30" s="130">
        <v>25000</v>
      </c>
      <c r="N30" s="129"/>
      <c r="O30" s="94" t="s">
        <v>321</v>
      </c>
      <c r="P30" s="131">
        <f>IF(RATE_TBL[[#This Row],[Variable2 - (e.g. daily/ unit cost)
]]&gt;0,RATE_TBL[[#This Row],[Variable2 - (e.g. daily/ unit cost)
]],RATE_TBL[[#This Row],[Variable3 - (e.g. quote or calc cost)]])</f>
        <v>25000</v>
      </c>
    </row>
    <row r="31" spans="1:16" s="2" customFormat="1" ht="36" outlineLevel="1" x14ac:dyDescent="0.3">
      <c r="A31" s="28"/>
      <c r="B31" s="34"/>
      <c r="C31" s="138">
        <f t="shared" si="0"/>
        <v>0.23000000000000004</v>
      </c>
      <c r="D31" s="47"/>
      <c r="E31" s="48"/>
      <c r="F31" s="48"/>
      <c r="G31" s="21" t="s">
        <v>113</v>
      </c>
      <c r="H31" s="19" t="s">
        <v>166</v>
      </c>
      <c r="I31" s="39"/>
      <c r="J31" s="21"/>
      <c r="K31" s="58"/>
      <c r="L31" s="261">
        <f>'Project Specific Questions'!H27</f>
        <v>0</v>
      </c>
      <c r="M31" s="130">
        <v>40000</v>
      </c>
      <c r="N31" s="129"/>
      <c r="O31" s="94" t="s">
        <v>321</v>
      </c>
      <c r="P31" s="131">
        <f>IF(RATE_TBL[[#This Row],[Variable2 - (e.g. daily/ unit cost)
]]&gt;0,RATE_TBL[[#This Row],[Variable2 - (e.g. daily/ unit cost)
]],RATE_TBL[[#This Row],[Variable3 - (e.g. quote or calc cost)]])</f>
        <v>40000</v>
      </c>
    </row>
    <row r="32" spans="1:16" s="2" customFormat="1" ht="36" outlineLevel="1" x14ac:dyDescent="0.3">
      <c r="A32" s="28"/>
      <c r="B32" s="34"/>
      <c r="C32" s="138">
        <f t="shared" si="0"/>
        <v>0.24000000000000005</v>
      </c>
      <c r="D32" s="47"/>
      <c r="E32" s="48"/>
      <c r="F32" s="48"/>
      <c r="G32" s="21" t="s">
        <v>18</v>
      </c>
      <c r="H32" s="19" t="s">
        <v>166</v>
      </c>
      <c r="I32" s="39"/>
      <c r="J32" s="21"/>
      <c r="K32" s="58"/>
      <c r="L32" s="261">
        <f>'Project Specific Questions'!H30</f>
        <v>0</v>
      </c>
      <c r="M32" s="130">
        <v>15000</v>
      </c>
      <c r="N32" s="129"/>
      <c r="O32" s="94" t="s">
        <v>321</v>
      </c>
      <c r="P32" s="131">
        <f>IF(RATE_TBL[[#This Row],[Variable2 - (e.g. daily/ unit cost)
]]&gt;0,RATE_TBL[[#This Row],[Variable2 - (e.g. daily/ unit cost)
]],RATE_TBL[[#This Row],[Variable3 - (e.g. quote or calc cost)]])</f>
        <v>15000</v>
      </c>
    </row>
    <row r="33" spans="1:16" s="2" customFormat="1" ht="36" outlineLevel="1" x14ac:dyDescent="0.3">
      <c r="A33" s="28"/>
      <c r="B33" s="34"/>
      <c r="C33" s="138">
        <f t="shared" si="0"/>
        <v>0.25000000000000006</v>
      </c>
      <c r="D33" s="47"/>
      <c r="E33" s="48"/>
      <c r="F33" s="48"/>
      <c r="G33" s="21" t="s">
        <v>19</v>
      </c>
      <c r="H33" s="19" t="s">
        <v>166</v>
      </c>
      <c r="I33" s="39"/>
      <c r="J33" s="21"/>
      <c r="K33" s="58"/>
      <c r="L33" s="261">
        <f>'Project Specific Questions'!H33</f>
        <v>0</v>
      </c>
      <c r="M33" s="130">
        <v>15000</v>
      </c>
      <c r="N33" s="129"/>
      <c r="O33" s="94" t="s">
        <v>321</v>
      </c>
      <c r="P33" s="131">
        <f>IF(RATE_TBL[[#This Row],[Variable2 - (e.g. daily/ unit cost)
]]&gt;0,RATE_TBL[[#This Row],[Variable2 - (e.g. daily/ unit cost)
]],RATE_TBL[[#This Row],[Variable3 - (e.g. quote or calc cost)]])</f>
        <v>15000</v>
      </c>
    </row>
    <row r="34" spans="1:16" s="2" customFormat="1" ht="36" outlineLevel="1" x14ac:dyDescent="0.3">
      <c r="A34" s="28"/>
      <c r="B34" s="34"/>
      <c r="C34" s="138">
        <f t="shared" si="0"/>
        <v>0.26000000000000006</v>
      </c>
      <c r="D34" s="47"/>
      <c r="E34" s="48"/>
      <c r="F34" s="48"/>
      <c r="G34" s="21" t="s">
        <v>20</v>
      </c>
      <c r="H34" s="19" t="s">
        <v>166</v>
      </c>
      <c r="I34" s="39"/>
      <c r="J34" s="21"/>
      <c r="K34" s="58"/>
      <c r="L34" s="261">
        <f>'Project Specific Questions'!H36</f>
        <v>0</v>
      </c>
      <c r="M34" s="130">
        <v>30000</v>
      </c>
      <c r="N34" s="129"/>
      <c r="O34" s="94" t="s">
        <v>321</v>
      </c>
      <c r="P34" s="131">
        <f>IF(RATE_TBL[[#This Row],[Variable2 - (e.g. daily/ unit cost)
]]&gt;0,RATE_TBL[[#This Row],[Variable2 - (e.g. daily/ unit cost)
]],RATE_TBL[[#This Row],[Variable3 - (e.g. quote or calc cost)]])</f>
        <v>30000</v>
      </c>
    </row>
    <row r="35" spans="1:16" s="2" customFormat="1" ht="24" outlineLevel="1" x14ac:dyDescent="0.3">
      <c r="A35" s="28"/>
      <c r="B35" s="34"/>
      <c r="C35" s="138">
        <f t="shared" si="0"/>
        <v>0.27000000000000007</v>
      </c>
      <c r="D35" s="47"/>
      <c r="E35" s="48"/>
      <c r="F35" s="48"/>
      <c r="G35" s="21" t="s">
        <v>171</v>
      </c>
      <c r="H35" s="19"/>
      <c r="I35" s="39"/>
      <c r="J35" s="21"/>
      <c r="K35" s="58"/>
      <c r="L35" s="261">
        <f>'Project Specific Questions'!H45</f>
        <v>0</v>
      </c>
      <c r="M35" s="130" t="s">
        <v>77</v>
      </c>
      <c r="N35" s="129"/>
      <c r="O35" s="94" t="s">
        <v>321</v>
      </c>
      <c r="P35" s="131" t="str">
        <f>IF(RATE_TBL[[#This Row],[Variable2 - (e.g. daily/ unit cost)
]]&gt;0,RATE_TBL[[#This Row],[Variable2 - (e.g. daily/ unit cost)
]],RATE_TBL[[#This Row],[Variable3 - (e.g. quote or calc cost)]])</f>
        <v>Develop Work Specific Cost</v>
      </c>
    </row>
    <row r="36" spans="1:16" s="2" customFormat="1" ht="24" outlineLevel="1" x14ac:dyDescent="0.3">
      <c r="A36" s="28"/>
      <c r="B36" s="34"/>
      <c r="C36" s="138">
        <f t="shared" si="0"/>
        <v>0.28000000000000008</v>
      </c>
      <c r="D36" s="47"/>
      <c r="E36" s="48"/>
      <c r="F36" s="48"/>
      <c r="G36" s="21" t="s">
        <v>335</v>
      </c>
      <c r="H36" s="19"/>
      <c r="I36" s="39"/>
      <c r="J36" s="21"/>
      <c r="K36" s="58"/>
      <c r="L36" s="261">
        <f>'Project Specific Questions'!H51</f>
        <v>0</v>
      </c>
      <c r="M36" s="130" t="s">
        <v>77</v>
      </c>
      <c r="N36" s="129"/>
      <c r="O36" s="94" t="s">
        <v>321</v>
      </c>
      <c r="P36" s="131" t="str">
        <f>IF(RATE_TBL[[#This Row],[Variable2 - (e.g. daily/ unit cost)
]]&gt;0,RATE_TBL[[#This Row],[Variable2 - (e.g. daily/ unit cost)
]],RATE_TBL[[#This Row],[Variable3 - (e.g. quote or calc cost)]])</f>
        <v>Develop Work Specific Cost</v>
      </c>
    </row>
    <row r="37" spans="1:16" s="13" customFormat="1" x14ac:dyDescent="0.3">
      <c r="A37" s="11"/>
      <c r="B37" s="33"/>
      <c r="C37" s="46">
        <v>1</v>
      </c>
      <c r="D37" s="47">
        <f>'Quantity Calcs'!D9</f>
        <v>1</v>
      </c>
      <c r="E37" s="48" t="str">
        <f>'Quantity Calcs'!E9</f>
        <v>Restoration of Disturbed Lands</v>
      </c>
      <c r="F37" s="48"/>
      <c r="G37" s="21"/>
      <c r="H37" s="21"/>
      <c r="I37" s="39"/>
      <c r="J37" s="21"/>
      <c r="K37" s="50"/>
      <c r="L37" s="51"/>
      <c r="M37" s="52"/>
      <c r="N37" s="53"/>
      <c r="O37" s="141"/>
      <c r="P37" s="130"/>
    </row>
    <row r="38" spans="1:16" s="13" customFormat="1" x14ac:dyDescent="0.3">
      <c r="A38" s="11"/>
      <c r="B38" s="33"/>
      <c r="C38" s="54">
        <v>2</v>
      </c>
      <c r="D38" s="55"/>
      <c r="E38" s="56" t="str">
        <f>'Quantity Calcs'!E10</f>
        <v>a</v>
      </c>
      <c r="F38" s="56" t="str">
        <f>'Quantity Calcs'!F10</f>
        <v>Restoration of Disturbed Lands</v>
      </c>
      <c r="G38" s="18"/>
      <c r="H38" s="18"/>
      <c r="I38" s="39"/>
      <c r="J38" s="21"/>
      <c r="K38" s="57"/>
      <c r="L38" s="58"/>
      <c r="M38" s="57"/>
      <c r="N38" s="53"/>
      <c r="O38" s="108"/>
      <c r="P38" s="142"/>
    </row>
    <row r="39" spans="1:16" ht="24" x14ac:dyDescent="0.3">
      <c r="C39" s="54">
        <v>3</v>
      </c>
      <c r="D39" s="55"/>
      <c r="E39" s="56"/>
      <c r="F39" s="56">
        <f>'Quantity Calcs'!F11</f>
        <v>1.01</v>
      </c>
      <c r="G39" s="18" t="str">
        <f>'Quantity Calcs'!G11</f>
        <v>Does land restoration require the use of heavy equipment?</v>
      </c>
      <c r="H39" s="18" t="str">
        <f>'Quantity Calcs'!H11</f>
        <v>Yes/ No trigger for heavy equipment.</v>
      </c>
      <c r="I39" s="39"/>
      <c r="J39" s="21"/>
      <c r="K39" s="52"/>
      <c r="L39" s="57"/>
      <c r="M39" s="57"/>
      <c r="N39" s="53"/>
      <c r="O39" s="108" t="str">
        <f>'Quantity Calcs'!P11</f>
        <v>Y/ N Trigger</v>
      </c>
      <c r="P39" s="143" t="s">
        <v>57</v>
      </c>
    </row>
    <row r="40" spans="1:16" ht="96" x14ac:dyDescent="0.3">
      <c r="C40" s="54">
        <v>4</v>
      </c>
      <c r="D40" s="55"/>
      <c r="E40" s="56"/>
      <c r="F40" s="56">
        <f>'Quantity Calcs'!F12</f>
        <v>1.02</v>
      </c>
      <c r="G40" s="18" t="str">
        <f>'Quantity Calcs'!G12</f>
        <v xml:space="preserve">Restoration of disturbed lands, as required:
→ Re-contouring disturbed areas
→ Removal of gravel pads
→ Burying sumps
→ Reclaim site access roads
</v>
      </c>
      <c r="H40" s="18" t="str">
        <f>'Quantity Calcs'!H12</f>
        <v xml:space="preserve">Re-contour disturbed areas/ grade to match natural surrounding and promote natural drainage:
→ Dozer at full production (grading, ripping, spreading)
→ Excavator &amp; 2x trucks @ 1/3 production (gravel removal, sump burial)
</v>
      </c>
      <c r="I40" s="39"/>
      <c r="J40" s="21"/>
      <c r="K40" s="144">
        <f>'Quantity Calcs'!T12</f>
        <v>1.9</v>
      </c>
      <c r="L40" s="145">
        <f>P$18/RATE_TBL[[#This Row],[Variable1 - (e.g. daily work production)]]</f>
        <v>5878.4210526315792</v>
      </c>
      <c r="M40" s="146">
        <v>6536.52</v>
      </c>
      <c r="N40" s="53"/>
      <c r="O40" s="108" t="str">
        <f>'Quantity Calcs'!P12</f>
        <v>ha</v>
      </c>
      <c r="P40" s="142">
        <f>RATE_TBL[[#This Row],[Variable2 - (e.g. daily/ unit cost)
]]</f>
        <v>5878.4210526315792</v>
      </c>
    </row>
    <row r="41" spans="1:16" ht="84" x14ac:dyDescent="0.3">
      <c r="C41" s="54">
        <v>5</v>
      </c>
      <c r="D41" s="55"/>
      <c r="E41" s="56"/>
      <c r="F41" s="56">
        <f>'Quantity Calcs'!F13</f>
        <v>1.03</v>
      </c>
      <c r="G41" s="18" t="str">
        <f>'Quantity Calcs'!G13</f>
        <v>Placement of salvaged topsoil and/or organics</v>
      </c>
      <c r="H41" s="18" t="str">
        <f>'Quantity Calcs'!H13</f>
        <v xml:space="preserve">Place overburden to restore disturbed areas to match original site conditions/ promote vegetation:
→ Allow 25% of total disturbed areas to create pockets for revegetation
→ 150 mm thick cover
</v>
      </c>
      <c r="I41" s="39"/>
      <c r="J41" s="21"/>
      <c r="K41" s="147">
        <f>'Quantity Calcs'!T13</f>
        <v>880</v>
      </c>
      <c r="L41" s="142">
        <f>P$18/RATE_TBL[[#This Row],[Variable1 - (e.g. daily work production)]]</f>
        <v>12.692045454545454</v>
      </c>
      <c r="M41" s="148">
        <v>5.5284000000000004</v>
      </c>
      <c r="N41" s="86"/>
      <c r="O41" s="108" t="str">
        <f>'Quantity Calcs'!P13</f>
        <v>cu.m</v>
      </c>
      <c r="P41" s="142">
        <f>RATE_TBL[[#This Row],[Variable2 - (e.g. daily/ unit cost)
]]</f>
        <v>12.692045454545454</v>
      </c>
    </row>
    <row r="42" spans="1:16" ht="36" x14ac:dyDescent="0.3">
      <c r="C42" s="54">
        <v>6</v>
      </c>
      <c r="D42" s="55"/>
      <c r="E42" s="56"/>
      <c r="F42" s="56">
        <f>'Quantity Calcs'!F14</f>
        <v>1.04</v>
      </c>
      <c r="G42" s="18" t="str">
        <f>'Quantity Calcs'!G14</f>
        <v>Application of fertilizer</v>
      </c>
      <c r="H42" s="18" t="str">
        <f>'Quantity Calcs'!H14</f>
        <v xml:space="preserve">Include costs for applying fertilizer:
→ Labour + fertilizer costs
</v>
      </c>
      <c r="I42" s="39"/>
      <c r="J42" s="21"/>
      <c r="K42" s="144">
        <f>'Quantity Calcs'!T14</f>
        <v>2</v>
      </c>
      <c r="L42" s="142">
        <f>P$13/RATE_TBL[[#This Row],[Variable1 - (e.g. daily work production)]]</f>
        <v>1619.3999999999999</v>
      </c>
      <c r="M42" s="142">
        <f>300*1.2</f>
        <v>360</v>
      </c>
      <c r="N42" s="149"/>
      <c r="O42" s="108" t="str">
        <f>'Quantity Calcs'!P14</f>
        <v>ha</v>
      </c>
      <c r="P42" s="142">
        <f>RATE_TBL[[#This Row],[Variable2 - (e.g. daily/ unit cost)
]]+RATE_TBL[[#This Row],[Variable3 - (e.g. quote or calc cost)]]</f>
        <v>1979.3999999999999</v>
      </c>
    </row>
    <row r="43" spans="1:16" ht="36" x14ac:dyDescent="0.3">
      <c r="C43" s="54">
        <v>7</v>
      </c>
      <c r="D43" s="55"/>
      <c r="E43" s="56"/>
      <c r="F43" s="56">
        <f>'Quantity Calcs'!F15</f>
        <v>1.05</v>
      </c>
      <c r="G43" s="18" t="str">
        <f>'Quantity Calcs'!G15</f>
        <v>Seeding/ planting</v>
      </c>
      <c r="H43" s="18" t="str">
        <f>'Quantity Calcs'!H15</f>
        <v xml:space="preserve">Include costs for seeding/ planting:
→ Labour + seed costs
</v>
      </c>
      <c r="I43" s="39"/>
      <c r="J43" s="21"/>
      <c r="K43" s="144">
        <f>'Quantity Calcs'!T15</f>
        <v>2</v>
      </c>
      <c r="L43" s="142">
        <f>P$13/RATE_TBL[[#This Row],[Variable1 - (e.g. daily work production)]]</f>
        <v>1619.3999999999999</v>
      </c>
      <c r="M43" s="142">
        <f>25*15.45</f>
        <v>386.25</v>
      </c>
      <c r="N43" s="149"/>
      <c r="O43" s="108" t="str">
        <f>'Quantity Calcs'!P15</f>
        <v>ha</v>
      </c>
      <c r="P43" s="142">
        <f>RATE_TBL[[#This Row],[Variable2 - (e.g. daily/ unit cost)
]]+RATE_TBL[[#This Row],[Variable3 - (e.g. quote or calc cost)]]</f>
        <v>2005.6499999999999</v>
      </c>
    </row>
    <row r="44" spans="1:16" x14ac:dyDescent="0.3">
      <c r="C44" s="54">
        <v>8</v>
      </c>
      <c r="D44" s="55">
        <f>'Quantity Calcs'!D16</f>
        <v>2</v>
      </c>
      <c r="E44" s="56" t="str">
        <f>'Quantity Calcs'!E16</f>
        <v>Removal of Abandoned Equipment and Buildings (Demobilization component in Section 5)</v>
      </c>
      <c r="F44" s="56"/>
      <c r="G44" s="18"/>
      <c r="H44" s="18"/>
      <c r="I44" s="39"/>
      <c r="J44" s="21"/>
      <c r="K44" s="57"/>
      <c r="L44" s="58"/>
      <c r="M44" s="57"/>
      <c r="N44" s="53"/>
      <c r="O44" s="108"/>
      <c r="P44" s="142"/>
    </row>
    <row r="45" spans="1:16" x14ac:dyDescent="0.3">
      <c r="C45" s="54">
        <v>9</v>
      </c>
      <c r="D45" s="55"/>
      <c r="E45" s="56" t="str">
        <f>'Quantity Calcs'!E17</f>
        <v>a</v>
      </c>
      <c r="F45" s="56" t="str">
        <f>'Quantity Calcs'!F17</f>
        <v>Prepare Abandoned Equipment for removal/ demobilization</v>
      </c>
      <c r="G45" s="18"/>
      <c r="H45" s="18"/>
      <c r="I45" s="39"/>
      <c r="J45" s="21"/>
      <c r="K45" s="57"/>
      <c r="L45" s="58"/>
      <c r="M45" s="57"/>
      <c r="N45" s="53"/>
      <c r="O45" s="108"/>
      <c r="P45" s="142"/>
    </row>
    <row r="46" spans="1:16" ht="60" x14ac:dyDescent="0.3">
      <c r="C46" s="54">
        <v>10</v>
      </c>
      <c r="D46" s="55"/>
      <c r="E46" s="56"/>
      <c r="F46" s="56">
        <f>'Quantity Calcs'!F18</f>
        <v>2.0099999999999998</v>
      </c>
      <c r="G46" s="18" t="str">
        <f>'Quantity Calcs'!G18</f>
        <v>Prepare equipment for demobilization</v>
      </c>
      <c r="H46" s="18" t="str">
        <f>'Quantity Calcs'!H18</f>
        <v xml:space="preserve">Labour work to prepare equipment:
→ Drain fluids
→ Dismantle and package for demobilization
</v>
      </c>
      <c r="I46" s="39"/>
      <c r="J46" s="21"/>
      <c r="K46" s="150">
        <f>'Quantity Calcs'!T18</f>
        <v>44</v>
      </c>
      <c r="L46" s="145">
        <f>P$13/RATE_TBL[[#This Row],[Variable1 - (e.g. daily work production)]]</f>
        <v>73.609090909090909</v>
      </c>
      <c r="M46" s="57"/>
      <c r="N46" s="53"/>
      <c r="O46" s="108" t="str">
        <f>'Quantity Calcs'!P18</f>
        <v>pieces of equipment</v>
      </c>
      <c r="P46" s="142">
        <f>RATE_TBL[[#This Row],[Variable2 - (e.g. daily/ unit cost)
]]</f>
        <v>73.609090909090909</v>
      </c>
    </row>
    <row r="47" spans="1:16" x14ac:dyDescent="0.3">
      <c r="C47" s="54">
        <v>11</v>
      </c>
      <c r="D47" s="55"/>
      <c r="E47" s="56" t="str">
        <f>'Quantity Calcs'!E19</f>
        <v>b</v>
      </c>
      <c r="F47" s="56" t="str">
        <f>'Quantity Calcs'!F19</f>
        <v>Prepare Abandoned Camp/ Buildings/ Infrastructure for removal/ demobilization</v>
      </c>
      <c r="G47" s="18"/>
      <c r="H47" s="18"/>
      <c r="I47" s="39"/>
      <c r="J47" s="21"/>
      <c r="K47" s="57"/>
      <c r="L47" s="58"/>
      <c r="M47" s="57"/>
      <c r="N47" s="53"/>
      <c r="O47" s="108"/>
      <c r="P47" s="142"/>
    </row>
    <row r="48" spans="1:16" x14ac:dyDescent="0.3">
      <c r="C48" s="54">
        <v>12</v>
      </c>
      <c r="D48" s="55"/>
      <c r="E48" s="56"/>
      <c r="F48" s="56">
        <f>'Quantity Calcs'!F20</f>
        <v>2.0199999999999996</v>
      </c>
      <c r="G48" s="18" t="str">
        <f>'Quantity Calcs'!G20</f>
        <v>Consolidation of scrap/ garbage</v>
      </c>
      <c r="H48" s="18" t="str">
        <f>'Quantity Calcs'!H20</f>
        <v>Labour work to consolidate scrap.</v>
      </c>
      <c r="I48" s="39"/>
      <c r="J48" s="21"/>
      <c r="K48" s="144">
        <f>'Quantity Calcs'!T20</f>
        <v>4</v>
      </c>
      <c r="L48" s="145">
        <f>P$13/RATE_TBL[[#This Row],[Variable1 - (e.g. daily work production)]]</f>
        <v>809.69999999999993</v>
      </c>
      <c r="M48" s="57"/>
      <c r="N48" s="53"/>
      <c r="O48" s="108" t="str">
        <f>'Quantity Calcs'!P20</f>
        <v>ha</v>
      </c>
      <c r="P48" s="142">
        <f>RATE_TBL[[#This Row],[Variable2 - (e.g. daily/ unit cost)
]]</f>
        <v>809.69999999999993</v>
      </c>
    </row>
    <row r="49" spans="3:16" ht="36" x14ac:dyDescent="0.3">
      <c r="C49" s="54">
        <v>13</v>
      </c>
      <c r="D49" s="55"/>
      <c r="E49" s="56"/>
      <c r="F49" s="56">
        <f>'Quantity Calcs'!F21</f>
        <v>2.0299999999999994</v>
      </c>
      <c r="G49" s="18" t="str">
        <f>'Quantity Calcs'!G21</f>
        <v>Demolish/ dismantle camp/ buildings/ infrastructure</v>
      </c>
      <c r="H49" s="18" t="str">
        <f>'Quantity Calcs'!H21</f>
        <v xml:space="preserve">Work to dismantle buildings based on sq.m:
→ Labour only
</v>
      </c>
      <c r="I49" s="39"/>
      <c r="J49" s="21"/>
      <c r="K49" s="151">
        <f>'Quantity Calcs'!T21</f>
        <v>80</v>
      </c>
      <c r="L49" s="145">
        <f>P$13/RATE_TBL[[#This Row],[Variable1 - (e.g. daily work production)]]</f>
        <v>40.484999999999999</v>
      </c>
      <c r="M49" s="152"/>
      <c r="N49" s="153"/>
      <c r="O49" s="108" t="str">
        <f>'Quantity Calcs'!P21</f>
        <v>sq.m</v>
      </c>
      <c r="P49" s="142">
        <f>RATE_TBL[[#This Row],[Variable2 - (e.g. daily/ unit cost)
]]</f>
        <v>40.484999999999999</v>
      </c>
    </row>
    <row r="50" spans="3:16" x14ac:dyDescent="0.3">
      <c r="C50" s="54">
        <v>14</v>
      </c>
      <c r="D50" s="55"/>
      <c r="E50" s="56" t="str">
        <f>'Quantity Calcs'!E22</f>
        <v>c</v>
      </c>
      <c r="F50" s="56" t="str">
        <f>'Quantity Calcs'!F22</f>
        <v>Disposal Costs</v>
      </c>
      <c r="G50" s="18"/>
      <c r="H50" s="18"/>
      <c r="I50" s="39"/>
      <c r="J50" s="21"/>
      <c r="K50" s="57"/>
      <c r="L50" s="58"/>
      <c r="M50" s="57"/>
      <c r="N50" s="53"/>
      <c r="O50" s="108"/>
      <c r="P50" s="142"/>
    </row>
    <row r="51" spans="3:16" ht="60" x14ac:dyDescent="0.3">
      <c r="C51" s="54">
        <v>15</v>
      </c>
      <c r="D51" s="55"/>
      <c r="E51" s="56"/>
      <c r="F51" s="56">
        <f>'Quantity Calcs'!F23</f>
        <v>2.04</v>
      </c>
      <c r="G51" s="18" t="str">
        <f>'Quantity Calcs'!G23</f>
        <v>Waste transport to southern disposal facility from hub city; e.g. Yellowknife</v>
      </c>
      <c r="H51" s="18" t="str">
        <f>'Quantity Calcs'!H23</f>
        <v xml:space="preserve">Transport of abandoned buildings and equipment to disposal facility based on total weight:
→ Southern industrial waste disposal (15 hrs to AB).
</v>
      </c>
      <c r="I51" s="39"/>
      <c r="J51" s="21"/>
      <c r="K51" s="57"/>
      <c r="L51" s="154"/>
      <c r="M51" s="142" t="s">
        <v>124</v>
      </c>
      <c r="N51" s="155"/>
      <c r="O51" s="108" t="str">
        <f>'Quantity Calcs'!P23</f>
        <v>tonnes</v>
      </c>
      <c r="P51" s="142" t="str">
        <f>RATE_TBL[[#This Row],[Variable3 - (e.g. quote or calc cost)]]</f>
        <v>Included in disposal fee</v>
      </c>
    </row>
    <row r="52" spans="3:16" x14ac:dyDescent="0.3">
      <c r="C52" s="54">
        <v>16</v>
      </c>
      <c r="D52" s="55"/>
      <c r="E52" s="56"/>
      <c r="F52" s="56">
        <f>'Quantity Calcs'!F24</f>
        <v>2.0499999999999998</v>
      </c>
      <c r="G52" s="18" t="str">
        <f>'Quantity Calcs'!G24</f>
        <v>Waste disposal tipping fee</v>
      </c>
      <c r="H52" s="18" t="str">
        <f>'Quantity Calcs'!H24</f>
        <v>Tipping fees for industrial waste.</v>
      </c>
      <c r="I52" s="39"/>
      <c r="J52" s="21"/>
      <c r="K52" s="57"/>
      <c r="L52" s="58"/>
      <c r="M52" s="142">
        <f>P24</f>
        <v>225.5</v>
      </c>
      <c r="N52" s="53"/>
      <c r="O52" s="108" t="str">
        <f>'Quantity Calcs'!P24</f>
        <v>tonnes</v>
      </c>
      <c r="P52" s="142">
        <f>RATE_TBL[[#This Row],[Variable3 - (e.g. quote or calc cost)]]</f>
        <v>225.5</v>
      </c>
    </row>
    <row r="53" spans="3:16" x14ac:dyDescent="0.3">
      <c r="C53" s="54">
        <v>17</v>
      </c>
      <c r="D53" s="55">
        <f>'Quantity Calcs'!D25</f>
        <v>3</v>
      </c>
      <c r="E53" s="56" t="str">
        <f>'Quantity Calcs'!E25</f>
        <v>Management of Hazardous Materials and Contaminated Soil (Demobilization component in Section 5)</v>
      </c>
      <c r="F53" s="56"/>
      <c r="G53" s="18"/>
      <c r="H53" s="18"/>
      <c r="I53" s="39"/>
      <c r="J53" s="21"/>
      <c r="K53" s="57"/>
      <c r="L53" s="58"/>
      <c r="M53" s="57"/>
      <c r="N53" s="53"/>
      <c r="O53" s="108"/>
      <c r="P53" s="142"/>
    </row>
    <row r="54" spans="3:16" x14ac:dyDescent="0.3">
      <c r="C54" s="54">
        <v>18</v>
      </c>
      <c r="D54" s="55"/>
      <c r="E54" s="56" t="str">
        <f>'Quantity Calcs'!E26</f>
        <v>a</v>
      </c>
      <c r="F54" s="56" t="str">
        <f>'Quantity Calcs'!F26</f>
        <v>Prepare Hazardous Materials for Removal/ Demobilization (residual waste fuel, waste fuel containers, hazardous building materials, etc.)</v>
      </c>
      <c r="G54" s="18"/>
      <c r="H54" s="18"/>
      <c r="I54" s="39"/>
      <c r="J54" s="21"/>
      <c r="K54" s="57"/>
      <c r="L54" s="58"/>
      <c r="M54" s="57"/>
      <c r="N54" s="53"/>
      <c r="O54" s="108"/>
      <c r="P54" s="142"/>
    </row>
    <row r="55" spans="3:16" ht="84" x14ac:dyDescent="0.3">
      <c r="C55" s="54">
        <v>19</v>
      </c>
      <c r="D55" s="55"/>
      <c r="E55" s="56"/>
      <c r="F55" s="56">
        <f>'Quantity Calcs'!F27</f>
        <v>3.01</v>
      </c>
      <c r="G55" s="18" t="str">
        <f>'Quantity Calcs'!G27</f>
        <v xml:space="preserve">Preparation of fuel barrels and fuel containers for removal/ demob:
→ Transfer residual liquids out of containers
→ Decontaminate, as required
</v>
      </c>
      <c r="H55" s="18" t="str">
        <f>'Quantity Calcs'!H27</f>
        <v xml:space="preserve">Labour work to consolidate fuel and prepare for transport:
→ Clean
→ Strap to pallets or set into shipping containers
</v>
      </c>
      <c r="I55" s="39"/>
      <c r="J55" s="21"/>
      <c r="K55" s="156">
        <f>'Quantity Calcs'!T27</f>
        <v>27060</v>
      </c>
      <c r="L55" s="145">
        <f>P$13/RATE_TBL[[#This Row],[Variable1 - (e.g. daily work production)]]</f>
        <v>0.11968957871396894</v>
      </c>
      <c r="M55" s="142"/>
      <c r="N55" s="149"/>
      <c r="O55" s="108" t="str">
        <f>'Quantity Calcs'!P27</f>
        <v>L of fuel containers</v>
      </c>
      <c r="P55" s="142">
        <f>RATE_TBL[[#This Row],[Variable2 - (e.g. daily/ unit cost)
]]</f>
        <v>0.11968957871396894</v>
      </c>
    </row>
    <row r="56" spans="3:16" ht="108" x14ac:dyDescent="0.3">
      <c r="C56" s="54">
        <v>20</v>
      </c>
      <c r="D56" s="55"/>
      <c r="E56" s="56"/>
      <c r="F56" s="56">
        <f>'Quantity Calcs'!F28</f>
        <v>3.02</v>
      </c>
      <c r="G56" s="18" t="str">
        <f>'Quantity Calcs'!G28</f>
        <v>Hazmat abatement/ consolidated and contain for demobilization</v>
      </c>
      <c r="H56" s="18" t="str">
        <f>'Quantity Calcs'!H28</f>
        <v xml:space="preserve">Trigger based on volume of permitted fuel &gt; 0 L.
Cost of collecting hazardous materials:
→ Waste petrol products
→ Used chemicals
→ Batteries
→ Oil filters and absorbent pads
→ Fluorescent lights
</v>
      </c>
      <c r="I56" s="39"/>
      <c r="J56" s="21"/>
      <c r="K56" s="176">
        <v>1</v>
      </c>
      <c r="L56" s="142">
        <f>P$13</f>
        <v>3238.7999999999997</v>
      </c>
      <c r="M56" s="142"/>
      <c r="N56" s="149"/>
      <c r="O56" s="108" t="str">
        <f>'Quantity Calcs'!P28</f>
        <v>ea</v>
      </c>
      <c r="P56" s="142">
        <f>RATE_TBL[[#This Row],[Variable1 - (e.g. daily work production)]]*RATE_TBL[[#This Row],[Variable2 - (e.g. daily/ unit cost)
]]</f>
        <v>3238.7999999999997</v>
      </c>
    </row>
    <row r="57" spans="3:16" x14ac:dyDescent="0.3">
      <c r="C57" s="54">
        <v>21</v>
      </c>
      <c r="D57" s="55"/>
      <c r="E57" s="56" t="str">
        <f>'Quantity Calcs'!E29</f>
        <v>b</v>
      </c>
      <c r="F57" s="56" t="str">
        <f>'Quantity Calcs'!F29</f>
        <v>Soil Remediation (e.g. dig and remove)</v>
      </c>
      <c r="G57" s="18"/>
      <c r="H57" s="18"/>
      <c r="I57" s="39"/>
      <c r="J57" s="21"/>
      <c r="K57" s="57"/>
      <c r="L57" s="58"/>
      <c r="M57" s="57"/>
      <c r="N57" s="53"/>
      <c r="O57" s="108"/>
      <c r="P57" s="142"/>
    </row>
    <row r="58" spans="3:16" ht="84" x14ac:dyDescent="0.3">
      <c r="C58" s="54">
        <v>22</v>
      </c>
      <c r="D58" s="55"/>
      <c r="E58" s="56"/>
      <c r="F58" s="56">
        <f>'Quantity Calcs'!F30</f>
        <v>3.03</v>
      </c>
      <c r="G58" s="18" t="str">
        <f>'Quantity Calcs'!G30</f>
        <v>Soil remediation (manual labour to dig out contaminated soil by fuel transfer areas)</v>
      </c>
      <c r="H58" s="18" t="str">
        <f>'Quantity Calcs'!H30</f>
        <v xml:space="preserve">Assume soil clean-up for Fuel Transfer area:
→ Estimate 20L spill for 200,000L of fuel = 0.01%;
→ API Soil Volume required to immobilize a volume of hydrocarbons calculation, 0.4 soil porosity, 15% residual saturation for diesel in fine sand/ silt.
</v>
      </c>
      <c r="I58" s="39"/>
      <c r="J58" s="21"/>
      <c r="K58" s="147">
        <f>'Quantity Calcs'!T30</f>
        <v>3</v>
      </c>
      <c r="L58" s="142">
        <f>P$13/RATE_TBL[[#This Row],[Variable1 - (e.g. daily work production)]]</f>
        <v>1079.5999999999999</v>
      </c>
      <c r="M58" s="142"/>
      <c r="N58" s="149"/>
      <c r="O58" s="108" t="str">
        <f>'Quantity Calcs'!P30</f>
        <v>cu.m</v>
      </c>
      <c r="P58" s="142">
        <f>RATE_TBL[[#This Row],[Variable2 - (e.g. daily/ unit cost)
]]</f>
        <v>1079.5999999999999</v>
      </c>
    </row>
    <row r="59" spans="3:16" x14ac:dyDescent="0.3">
      <c r="C59" s="54">
        <v>23</v>
      </c>
      <c r="D59" s="55"/>
      <c r="E59" s="56" t="str">
        <f>'Quantity Calcs'!E31</f>
        <v>c</v>
      </c>
      <c r="F59" s="56" t="str">
        <f>'Quantity Calcs'!F31</f>
        <v>Disposal of Hazardous Materials</v>
      </c>
      <c r="G59" s="18"/>
      <c r="H59" s="18"/>
      <c r="I59" s="39"/>
      <c r="J59" s="21"/>
      <c r="K59" s="57"/>
      <c r="L59" s="58"/>
      <c r="M59" s="57"/>
      <c r="N59" s="53"/>
      <c r="O59" s="108"/>
      <c r="P59" s="142"/>
    </row>
    <row r="60" spans="3:16" ht="72" x14ac:dyDescent="0.3">
      <c r="C60" s="54">
        <v>24</v>
      </c>
      <c r="D60" s="55"/>
      <c r="E60" s="56"/>
      <c r="F60" s="56">
        <f>'Quantity Calcs'!F32</f>
        <v>3.04</v>
      </c>
      <c r="G60" s="18" t="str">
        <f>'Quantity Calcs'!G32</f>
        <v>Transport of solid hazardous wastes to southern disposal facility from hub city; e.g. Yellowknife</v>
      </c>
      <c r="H60" s="18" t="str">
        <f>'Quantity Calcs'!H32</f>
        <v xml:space="preserve">Transport from Yellowknife:
→ Empty barrels
→ Fuel containers
→ Contaminated soil from soil remediation (2.05t/cu.m)
</v>
      </c>
      <c r="I60" s="39"/>
      <c r="J60" s="21"/>
      <c r="K60" s="57"/>
      <c r="L60" s="57"/>
      <c r="M60" s="142" t="str">
        <f>P51</f>
        <v>Included in disposal fee</v>
      </c>
      <c r="N60" s="53"/>
      <c r="O60" s="108" t="str">
        <f>'Quantity Calcs'!P32</f>
        <v>tonne</v>
      </c>
      <c r="P60" s="142" t="str">
        <f>RATE_TBL[[#This Row],[Variable3 - (e.g. quote or calc cost)]]</f>
        <v>Included in disposal fee</v>
      </c>
    </row>
    <row r="61" spans="3:16" ht="108" x14ac:dyDescent="0.3">
      <c r="C61" s="54">
        <v>25</v>
      </c>
      <c r="D61" s="55"/>
      <c r="E61" s="56"/>
      <c r="F61" s="56">
        <f>'Quantity Calcs'!F33</f>
        <v>3.05</v>
      </c>
      <c r="G61" s="18" t="str">
        <f>'Quantity Calcs'!G33</f>
        <v>Transport of liquid hazardous wastes to southern disposal facility from hub city; e.g. Yellowknife</v>
      </c>
      <c r="H61" s="18" t="str">
        <f>'Quantity Calcs'!H33</f>
        <v xml:space="preserve">Transport from Yellowknife:
→ Waste fuel (10% of total volume of fuel)(0.832 t/cu.m)
→ Assume 1% of total volume of fuel for petrol waste products (waste oils, lubricants, oil filters and absorbent pads) to make up bulk of 'other' hazmat
</v>
      </c>
      <c r="I61" s="39"/>
      <c r="J61" s="21"/>
      <c r="K61" s="57"/>
      <c r="L61" s="57"/>
      <c r="M61" s="142" t="str">
        <f>M60</f>
        <v>Included in disposal fee</v>
      </c>
      <c r="N61" s="53"/>
      <c r="O61" s="108" t="str">
        <f>'Quantity Calcs'!P33</f>
        <v>tonne</v>
      </c>
      <c r="P61" s="142" t="str">
        <f>RATE_TBL[[#This Row],[Variable3 - (e.g. quote or calc cost)]]</f>
        <v>Included in disposal fee</v>
      </c>
    </row>
    <row r="62" spans="3:16" ht="60" x14ac:dyDescent="0.3">
      <c r="C62" s="54">
        <v>26</v>
      </c>
      <c r="D62" s="55"/>
      <c r="E62" s="56"/>
      <c r="F62" s="56">
        <f>'Quantity Calcs'!F34</f>
        <v>3.06</v>
      </c>
      <c r="G62" s="18" t="str">
        <f>'Quantity Calcs'!G34</f>
        <v xml:space="preserve">Hazmat disposal tipping fees:
→ Empty barrels and fuel containers
</v>
      </c>
      <c r="H62" s="18" t="str">
        <f>'Quantity Calcs'!H34</f>
        <v xml:space="preserve">Tipping fees:
→ Empty barrels @ 20kg/ barrel
→ Fuel containers
</v>
      </c>
      <c r="I62" s="39"/>
      <c r="J62" s="21"/>
      <c r="K62" s="57"/>
      <c r="L62" s="58"/>
      <c r="M62" s="142">
        <f>P24</f>
        <v>225.5</v>
      </c>
      <c r="N62" s="53"/>
      <c r="O62" s="108" t="str">
        <f>'Quantity Calcs'!P34</f>
        <v>tonne</v>
      </c>
      <c r="P62" s="142">
        <f>RATE_TBL[[#This Row],[Variable3 - (e.g. quote or calc cost)]]</f>
        <v>225.5</v>
      </c>
    </row>
    <row r="63" spans="3:16" ht="36" x14ac:dyDescent="0.3">
      <c r="C63" s="54">
        <v>27</v>
      </c>
      <c r="D63" s="55"/>
      <c r="E63" s="56"/>
      <c r="F63" s="56">
        <f>'Quantity Calcs'!F35</f>
        <v>3.07</v>
      </c>
      <c r="G63" s="18" t="str">
        <f>'Quantity Calcs'!G35</f>
        <v xml:space="preserve">Hazmat disposal tipping fees:
→ Contaminated soil
</v>
      </c>
      <c r="H63" s="18" t="str">
        <f>'Quantity Calcs'!H35</f>
        <v xml:space="preserve">Tipping fees:
→ Contaminated soil
</v>
      </c>
      <c r="I63" s="39"/>
      <c r="J63" s="21"/>
      <c r="K63" s="57"/>
      <c r="L63" s="58"/>
      <c r="M63" s="142">
        <f>P25</f>
        <v>192.5</v>
      </c>
      <c r="N63" s="53"/>
      <c r="O63" s="108" t="str">
        <f>'Quantity Calcs'!P35</f>
        <v>tonne</v>
      </c>
      <c r="P63" s="142">
        <f>RATE_TBL[[#This Row],[Variable3 - (e.g. quote or calc cost)]]</f>
        <v>192.5</v>
      </c>
    </row>
    <row r="64" spans="3:16" ht="36" x14ac:dyDescent="0.3">
      <c r="C64" s="54">
        <v>28</v>
      </c>
      <c r="D64" s="55"/>
      <c r="E64" s="56"/>
      <c r="F64" s="56">
        <f>'Quantity Calcs'!F36</f>
        <v>3.08</v>
      </c>
      <c r="G64" s="18" t="str">
        <f>'Quantity Calcs'!G36</f>
        <v xml:space="preserve">Hazmat disposal tipping fees:
→ Waste fuel and waste petrol products
</v>
      </c>
      <c r="H64" s="18" t="str">
        <f>'Quantity Calcs'!H36</f>
        <v xml:space="preserve">Tipping fees:
→ Waste fuel and waste petrol products
</v>
      </c>
      <c r="I64" s="39"/>
      <c r="J64" s="21"/>
      <c r="K64" s="57"/>
      <c r="L64" s="57"/>
      <c r="M64" s="142">
        <f>P26</f>
        <v>1.5</v>
      </c>
      <c r="N64" s="53"/>
      <c r="O64" s="108" t="str">
        <f>'Quantity Calcs'!P36</f>
        <v>L</v>
      </c>
      <c r="P64" s="142">
        <f>RATE_TBL[[#This Row],[Variable3 - (e.g. quote or calc cost)]]</f>
        <v>1.5</v>
      </c>
    </row>
    <row r="65" spans="3:16" x14ac:dyDescent="0.3">
      <c r="C65" s="54">
        <v>29</v>
      </c>
      <c r="D65" s="55">
        <f>'Quantity Calcs'!D37</f>
        <v>4</v>
      </c>
      <c r="E65" s="56" t="str">
        <f>'Quantity Calcs'!E37</f>
        <v>Interim Care and Maintenance (ICM)</v>
      </c>
      <c r="F65" s="56"/>
      <c r="G65" s="18"/>
      <c r="H65" s="18"/>
      <c r="I65" s="39"/>
      <c r="J65" s="21"/>
      <c r="K65" s="57"/>
      <c r="L65" s="58"/>
      <c r="M65" s="57"/>
      <c r="N65" s="53"/>
      <c r="O65" s="108"/>
      <c r="P65" s="142"/>
    </row>
    <row r="66" spans="3:16" x14ac:dyDescent="0.3">
      <c r="C66" s="54">
        <v>30</v>
      </c>
      <c r="D66" s="55"/>
      <c r="E66" s="56" t="str">
        <f>'Quantity Calcs'!E38</f>
        <v>a</v>
      </c>
      <c r="F66" s="56" t="str">
        <f>'Quantity Calcs'!F38</f>
        <v>Site Inspection</v>
      </c>
      <c r="G66" s="18"/>
      <c r="H66" s="18"/>
      <c r="I66" s="39"/>
      <c r="J66" s="21"/>
      <c r="K66" s="57"/>
      <c r="L66" s="58"/>
      <c r="M66" s="57"/>
      <c r="N66" s="53"/>
      <c r="O66" s="108"/>
      <c r="P66" s="142"/>
    </row>
    <row r="67" spans="3:16" ht="84" x14ac:dyDescent="0.3">
      <c r="C67" s="54">
        <v>31</v>
      </c>
      <c r="D67" s="55"/>
      <c r="E67" s="56"/>
      <c r="F67" s="56">
        <f>'Quantity Calcs'!F39</f>
        <v>4.01</v>
      </c>
      <c r="G67" s="18" t="str">
        <f>'Quantity Calcs'!G39</f>
        <v>Site inspection/ monitoring by a Contractor (fly in by air)</v>
      </c>
      <c r="H67" s="18" t="str">
        <f>'Quantity Calcs'!H39</f>
        <v xml:space="preserve">Triggered based on distance of site &gt; 0 km.
Travel to site:
→ Air travel
→ 1 scientist + 1 labourer/ wildlife monitoring crew
</v>
      </c>
      <c r="I67" s="39"/>
      <c r="J67" s="21" t="s">
        <v>95</v>
      </c>
      <c r="K67" s="270">
        <f>'Costing Questions'!G14</f>
        <v>0</v>
      </c>
      <c r="L67" s="145">
        <f>ROUNDUP(RATE_TBL[[#This Row],[Variable1 - (e.g. daily work production)]]/(L$21)*2,1)*K$21</f>
        <v>0</v>
      </c>
      <c r="M67" s="142">
        <f>P10*12+P12*12</f>
        <v>2044.56</v>
      </c>
      <c r="N67" s="149"/>
      <c r="O67" s="108" t="str">
        <f>'Quantity Calcs'!P39</f>
        <v>cost</v>
      </c>
      <c r="P67" s="142">
        <f>RATE_TBL[[#This Row],[Variable2 - (e.g. daily/ unit cost)
]]+RATE_TBL[[#This Row],[Variable3 - (e.g. quote or calc cost)]]</f>
        <v>2044.56</v>
      </c>
    </row>
    <row r="68" spans="3:16" x14ac:dyDescent="0.3">
      <c r="C68" s="54">
        <v>32</v>
      </c>
      <c r="D68" s="55"/>
      <c r="E68" s="56" t="str">
        <f>'Quantity Calcs'!E40</f>
        <v>b</v>
      </c>
      <c r="F68" s="56" t="str">
        <f>'Quantity Calcs'!F40</f>
        <v>ICM Monitoring</v>
      </c>
      <c r="G68" s="18"/>
      <c r="H68" s="18"/>
      <c r="I68" s="39"/>
      <c r="J68" s="21"/>
      <c r="K68" s="57"/>
      <c r="L68" s="58"/>
      <c r="M68" s="57"/>
      <c r="N68" s="53"/>
      <c r="O68" s="108"/>
      <c r="P68" s="142"/>
    </row>
    <row r="69" spans="3:16" ht="48" x14ac:dyDescent="0.3">
      <c r="C69" s="54">
        <v>33</v>
      </c>
      <c r="D69" s="55"/>
      <c r="E69" s="56"/>
      <c r="F69" s="56">
        <f>'Quantity Calcs'!F41</f>
        <v>4.0199999999999996</v>
      </c>
      <c r="G69" s="18" t="str">
        <f>'Quantity Calcs'!G41</f>
        <v>ICM geotechnical monitoring</v>
      </c>
      <c r="H69" s="38" t="str">
        <f>'Quantity Calcs'!H41</f>
        <v xml:space="preserve">Triggered based on potential impacts of proposed project on Land:
→ Monitoring costs
</v>
      </c>
      <c r="I69" s="39"/>
      <c r="J69" s="21"/>
      <c r="K69" s="57"/>
      <c r="L69" s="58"/>
      <c r="M69" s="142">
        <f>P30</f>
        <v>25000</v>
      </c>
      <c r="N69" s="53"/>
      <c r="O69" s="108" t="str">
        <f>'Quantity Calcs'!P41</f>
        <v>cost</v>
      </c>
      <c r="P69" s="142">
        <f>RATE_TBL[[#This Row],[Variable3 - (e.g. quote or calc cost)]]</f>
        <v>25000</v>
      </c>
    </row>
    <row r="70" spans="3:16" ht="48" x14ac:dyDescent="0.3">
      <c r="C70" s="54">
        <v>34</v>
      </c>
      <c r="D70" s="55"/>
      <c r="E70" s="56"/>
      <c r="F70" s="56">
        <f>'Quantity Calcs'!F42</f>
        <v>4.03</v>
      </c>
      <c r="G70" s="18" t="str">
        <f>'Quantity Calcs'!G42</f>
        <v>ICM groundwater and surface water monitoring</v>
      </c>
      <c r="H70" s="38" t="str">
        <f>'Quantity Calcs'!H42</f>
        <v xml:space="preserve">Triggered based on potential impacts of proposed project on Water:
→ Monitoring costs
</v>
      </c>
      <c r="I70" s="39"/>
      <c r="J70" s="21"/>
      <c r="K70" s="57"/>
      <c r="L70" s="58"/>
      <c r="M70" s="142">
        <f>P31</f>
        <v>40000</v>
      </c>
      <c r="N70" s="53"/>
      <c r="O70" s="108" t="str">
        <f>'Quantity Calcs'!P42</f>
        <v>cost</v>
      </c>
      <c r="P70" s="142">
        <f>RATE_TBL[[#This Row],[Variable3 - (e.g. quote or calc cost)]]</f>
        <v>40000</v>
      </c>
    </row>
    <row r="71" spans="3:16" x14ac:dyDescent="0.3">
      <c r="C71" s="54">
        <v>35</v>
      </c>
      <c r="D71" s="55">
        <f>'Quantity Calcs'!D43</f>
        <v>5</v>
      </c>
      <c r="E71" s="56" t="str">
        <f>'Quantity Calcs'!E43</f>
        <v>Mobilization, Camp, and Demobilization Costs</v>
      </c>
      <c r="F71" s="56"/>
      <c r="G71" s="18"/>
      <c r="H71" s="18"/>
      <c r="I71" s="39"/>
      <c r="J71" s="21"/>
      <c r="K71" s="57"/>
      <c r="L71" s="58"/>
      <c r="M71" s="57"/>
      <c r="N71" s="53"/>
      <c r="O71" s="108"/>
      <c r="P71" s="142"/>
    </row>
    <row r="72" spans="3:16" x14ac:dyDescent="0.3">
      <c r="C72" s="54">
        <v>36</v>
      </c>
      <c r="D72" s="55"/>
      <c r="E72" s="56" t="str">
        <f>'Quantity Calcs'!E44</f>
        <v>a</v>
      </c>
      <c r="F72" s="56" t="str">
        <f>'Quantity Calcs'!F44</f>
        <v>Mobilization of Heavy Equipment for the Reclamation Work, if required</v>
      </c>
      <c r="G72" s="18"/>
      <c r="H72" s="18"/>
      <c r="I72" s="39"/>
      <c r="J72" s="21"/>
      <c r="K72" s="57"/>
      <c r="L72" s="58"/>
      <c r="M72" s="57"/>
      <c r="N72" s="53"/>
      <c r="O72" s="108"/>
      <c r="P72" s="142"/>
    </row>
    <row r="73" spans="3:16" ht="48" x14ac:dyDescent="0.3">
      <c r="C73" s="54">
        <v>37</v>
      </c>
      <c r="D73" s="55"/>
      <c r="E73" s="56"/>
      <c r="F73" s="56">
        <f>'Quantity Calcs'!F45</f>
        <v>5.01</v>
      </c>
      <c r="G73" s="18" t="str">
        <f>'Quantity Calcs'!G45</f>
        <v>Will heavy equipment be required for the reclamation work?</v>
      </c>
      <c r="H73" s="18" t="str">
        <f>'Quantity Calcs'!H45</f>
        <v xml:space="preserve">Trigger for heavy equipment work:
→ Restoration of disturbed land required; or
→ Large demo.
</v>
      </c>
      <c r="I73" s="39"/>
      <c r="J73" s="21"/>
      <c r="K73" s="57"/>
      <c r="L73" s="58"/>
      <c r="M73" s="57"/>
      <c r="N73" s="53"/>
      <c r="O73" s="108" t="str">
        <f>'Quantity Calcs'!P45</f>
        <v>Y/ N Trigger</v>
      </c>
      <c r="P73" s="142" t="s">
        <v>57</v>
      </c>
    </row>
    <row r="74" spans="3:16" x14ac:dyDescent="0.3">
      <c r="C74" s="54">
        <v>38</v>
      </c>
      <c r="D74" s="55"/>
      <c r="E74" s="56"/>
      <c r="F74" s="56">
        <f>'Quantity Calcs'!F46</f>
        <v>5.0199999999999996</v>
      </c>
      <c r="G74" s="18" t="str">
        <f>'Quantity Calcs'!G46</f>
        <v>Construction of winter road for mobilization</v>
      </c>
      <c r="H74" s="18"/>
      <c r="I74" s="39"/>
      <c r="J74" s="21"/>
      <c r="K74" s="57" t="b">
        <f>'Costing Questions'!G26="yes"</f>
        <v>0</v>
      </c>
      <c r="L74" s="145">
        <f>P27</f>
        <v>1000</v>
      </c>
      <c r="M74" s="142">
        <f>P29</f>
        <v>13000</v>
      </c>
      <c r="N74" s="53"/>
      <c r="O74" s="108" t="str">
        <f>'Quantity Calcs'!P46</f>
        <v>km</v>
      </c>
      <c r="P74" s="142">
        <f>IF(RATE_TBL[[#This Row],[Variable1 - (e.g. daily work production)]]=TRUE,RATE_TBL[[#This Row],[Variable2 - (e.g. daily/ unit cost)
]],RATE_TBL[[#This Row],[Variable3 - (e.g. quote or calc cost)]])</f>
        <v>13000</v>
      </c>
    </row>
    <row r="75" spans="3:16" ht="60" x14ac:dyDescent="0.3">
      <c r="C75" s="54">
        <v>39</v>
      </c>
      <c r="D75" s="55"/>
      <c r="E75" s="56"/>
      <c r="F75" s="56">
        <f>'Quantity Calcs'!F47</f>
        <v>5.0299999999999994</v>
      </c>
      <c r="G75" s="18" t="str">
        <f>'Quantity Calcs'!G47</f>
        <v>Mobilization of heavy equipment and materials for reclamation work</v>
      </c>
      <c r="H75" s="18" t="str">
        <f>'Quantity Calcs'!H47</f>
        <v xml:space="preserve">Equipment required for reclamation:
→ 1x 20T excavator (20T)
→ 2x 30T haul trucks (25T ea)
→ 1x D6 bulldozer (25T)
</v>
      </c>
      <c r="I75" s="39"/>
      <c r="J75" s="21"/>
      <c r="K75" s="57"/>
      <c r="L75" s="58"/>
      <c r="M75" s="142">
        <f>P$92</f>
        <v>11.56</v>
      </c>
      <c r="N75" s="53"/>
      <c r="O75" s="108" t="str">
        <f>'Quantity Calcs'!P47</f>
        <v>tonnes</v>
      </c>
      <c r="P75" s="142">
        <f>RATE_TBL[[#This Row],[Variable3 - (e.g. quote or calc cost)]]</f>
        <v>11.56</v>
      </c>
    </row>
    <row r="76" spans="3:16" ht="36" x14ac:dyDescent="0.3">
      <c r="C76" s="54">
        <v>40</v>
      </c>
      <c r="D76" s="55"/>
      <c r="E76" s="56"/>
      <c r="F76" s="56">
        <f>'Quantity Calcs'!F48</f>
        <v>5.0399999999999991</v>
      </c>
      <c r="G76" s="18" t="str">
        <f>'Quantity Calcs'!G48</f>
        <v>Mobilization of fuel for reclamation work</v>
      </c>
      <c r="H76" s="18" t="str">
        <f>'Quantity Calcs'!H48</f>
        <v xml:space="preserve">Work Estimate:
→ 100 L/ equipment/ day
</v>
      </c>
      <c r="I76" s="39"/>
      <c r="J76" s="21"/>
      <c r="K76" s="57"/>
      <c r="L76" s="58"/>
      <c r="M76" s="142">
        <f>P$92</f>
        <v>11.56</v>
      </c>
      <c r="N76" s="53"/>
      <c r="O76" s="108" t="str">
        <f>'Quantity Calcs'!P48</f>
        <v>tonnes</v>
      </c>
      <c r="P76" s="142">
        <f>RATE_TBL[[#This Row],[Variable3 - (e.g. quote or calc cost)]]</f>
        <v>11.56</v>
      </c>
    </row>
    <row r="77" spans="3:16" ht="36" x14ac:dyDescent="0.3">
      <c r="C77" s="54">
        <v>41</v>
      </c>
      <c r="D77" s="55"/>
      <c r="E77" s="56"/>
      <c r="F77" s="56">
        <f>'Quantity Calcs'!F49</f>
        <v>5.0499999999999989</v>
      </c>
      <c r="G77" s="18" t="str">
        <f>'Quantity Calcs'!G49</f>
        <v>Contingency</v>
      </c>
      <c r="H77" s="22" t="str">
        <f>'Quantity Calcs'!H49</f>
        <v xml:space="preserve">Contingency cost for variability in environmental and pricing factors
</v>
      </c>
      <c r="I77" s="40"/>
      <c r="J77" s="24"/>
      <c r="K77" s="157"/>
      <c r="L77" s="58"/>
      <c r="M77" s="57"/>
      <c r="N77" s="53"/>
      <c r="O77" s="108" t="str">
        <f>'Quantity Calcs'!P49</f>
        <v>%</v>
      </c>
      <c r="P77" s="142" t="s">
        <v>57</v>
      </c>
    </row>
    <row r="78" spans="3:16" x14ac:dyDescent="0.3">
      <c r="C78" s="54">
        <v>42</v>
      </c>
      <c r="D78" s="55"/>
      <c r="E78" s="56" t="str">
        <f>'Quantity Calcs'!E50</f>
        <v>b</v>
      </c>
      <c r="F78" s="56" t="str">
        <f>'Quantity Calcs'!F50</f>
        <v>Mobilization and Demobilization of Workers and Supplies for the Reclamation Work</v>
      </c>
      <c r="G78" s="18"/>
      <c r="H78" s="18"/>
      <c r="I78" s="39"/>
      <c r="J78" s="21"/>
      <c r="K78" s="57"/>
      <c r="L78" s="58"/>
      <c r="M78" s="57"/>
      <c r="N78" s="53"/>
      <c r="O78" s="108"/>
      <c r="P78" s="142"/>
    </row>
    <row r="79" spans="3:16" ht="72" x14ac:dyDescent="0.3">
      <c r="C79" s="54">
        <v>43</v>
      </c>
      <c r="D79" s="55"/>
      <c r="E79" s="56"/>
      <c r="F79" s="56">
        <f>'Quantity Calcs'!F51</f>
        <v>5.0599999999999996</v>
      </c>
      <c r="G79" s="18" t="str">
        <f>'Quantity Calcs'!G51</f>
        <v>Mobilization of workers</v>
      </c>
      <c r="H79" s="18" t="str">
        <f>'Quantity Calcs'!H51</f>
        <v xml:space="preserve">6x person base work crew (@ 150kg w/ gear per person):
→ 4 local workers
→ 1 supervisor
→ 1 support
</v>
      </c>
      <c r="I79" s="39"/>
      <c r="J79" s="21" t="s">
        <v>95</v>
      </c>
      <c r="K79" s="270">
        <f>'Costing Questions'!G14</f>
        <v>0</v>
      </c>
      <c r="L79" s="145">
        <f>ROUNDUP(RATE_TBL[[#This Row],[Variable1 - (e.g. daily work production)]]/(L$21)*2,1)*K$21</f>
        <v>0</v>
      </c>
      <c r="M79" s="142">
        <f>RATE_TBL[[#This Row],[Variable2 - (e.g. daily/ unit cost)
]]/M21</f>
        <v>0</v>
      </c>
      <c r="N79" s="149"/>
      <c r="O79" s="108" t="str">
        <f>'Quantity Calcs'!P51</f>
        <v>kg</v>
      </c>
      <c r="P79" s="142">
        <f>RATE_TBL[[#This Row],[Variable3 - (e.g. quote or calc cost)]]</f>
        <v>0</v>
      </c>
    </row>
    <row r="80" spans="3:16" x14ac:dyDescent="0.3">
      <c r="C80" s="54">
        <v>44</v>
      </c>
      <c r="D80" s="55"/>
      <c r="E80" s="56"/>
      <c r="F80" s="56">
        <f>'Quantity Calcs'!F52</f>
        <v>5.07</v>
      </c>
      <c r="G80" s="18" t="str">
        <f>'Quantity Calcs'!G52</f>
        <v>Mobilization of operators, if required</v>
      </c>
      <c r="H80" s="18" t="str">
        <f>'Quantity Calcs'!H52</f>
        <v>4x operators</v>
      </c>
      <c r="I80" s="39"/>
      <c r="J80" s="21"/>
      <c r="K80" s="57"/>
      <c r="L80" s="58"/>
      <c r="M80" s="142">
        <f>P$79</f>
        <v>0</v>
      </c>
      <c r="N80" s="86"/>
      <c r="O80" s="108" t="str">
        <f>'Quantity Calcs'!P52</f>
        <v>kg</v>
      </c>
      <c r="P80" s="142">
        <f>RATE_TBL[[#This Row],[Variable3 - (e.g. quote or calc cost)]]</f>
        <v>0</v>
      </c>
    </row>
    <row r="81" spans="3:16" ht="240" x14ac:dyDescent="0.3">
      <c r="C81" s="54">
        <v>45</v>
      </c>
      <c r="D81" s="55"/>
      <c r="E81" s="56"/>
      <c r="F81" s="56">
        <f>'Quantity Calcs'!F53</f>
        <v>5.08</v>
      </c>
      <c r="G81" s="18" t="str">
        <f>'Quantity Calcs'!G53</f>
        <v xml:space="preserve">Mobilization of camp and supplies
</v>
      </c>
      <c r="H81" s="18" t="str">
        <f>'Quantity Calcs'!H53</f>
        <v xml:space="preserve">Assume min. 7 days to trigger camp:
→ otherwise daily mob of workers
Camp:
→ x2 sleeper
→ 1x kitchen facility
→ standard pact
→ bear fence
→ 2000 kg for camp
→ 1500 kg for wood
→ 1000 kg for fuel (1 barrel/ week for tents, 1 barrel/ week for genset)
→ 1000 kg for tool and supplies
+ 1x sleeper for 4x operators:
→ 500 kg camp
→ 500 kg wood
→ 500 kg  fuel
</v>
      </c>
      <c r="I81" s="39"/>
      <c r="J81" s="21"/>
      <c r="K81" s="57"/>
      <c r="L81" s="58"/>
      <c r="M81" s="145">
        <f>P$79</f>
        <v>0</v>
      </c>
      <c r="N81" s="53"/>
      <c r="O81" s="108" t="str">
        <f>'Quantity Calcs'!P53</f>
        <v>kg</v>
      </c>
      <c r="P81" s="142">
        <f>RATE_TBL[[#This Row],[Variable3 - (e.g. quote or calc cost)]]</f>
        <v>0</v>
      </c>
    </row>
    <row r="82" spans="3:16" ht="24" x14ac:dyDescent="0.3">
      <c r="C82" s="54">
        <v>46</v>
      </c>
      <c r="D82" s="55"/>
      <c r="E82" s="56"/>
      <c r="F82" s="56" t="str">
        <f>'Quantity Calcs'!F54</f>
        <v>5.08a</v>
      </c>
      <c r="G82" s="18" t="str">
        <f>'Quantity Calcs'!G54</f>
        <v>Additional daily mobilization of workers if there is no site camp</v>
      </c>
      <c r="H82" s="18"/>
      <c r="I82" s="39"/>
      <c r="J82" s="21"/>
      <c r="K82" s="145">
        <f t="shared" ref="K82" si="1">P$79</f>
        <v>0</v>
      </c>
      <c r="L82" s="80">
        <f>'Quantity Calcs'!O51</f>
        <v>990</v>
      </c>
      <c r="M82" s="142">
        <f>RATE_TBL[[#This Row],[Variable1 - (e.g. daily work production)]]*RATE_TBL[[#This Row],[Variable2 - (e.g. daily/ unit cost)
]]</f>
        <v>0</v>
      </c>
      <c r="N82" s="53"/>
      <c r="O82" s="108" t="s">
        <v>109</v>
      </c>
      <c r="P82" s="142">
        <f>RATE_TBL[[#This Row],[Variable3 - (e.g. quote or calc cost)]]</f>
        <v>0</v>
      </c>
    </row>
    <row r="83" spans="3:16" x14ac:dyDescent="0.3">
      <c r="C83" s="54">
        <v>47</v>
      </c>
      <c r="D83" s="55"/>
      <c r="E83" s="56"/>
      <c r="F83" s="56">
        <f>'Quantity Calcs'!F55</f>
        <v>5.09</v>
      </c>
      <c r="G83" s="18" t="str">
        <f>'Quantity Calcs'!G55</f>
        <v>Demobilization of workers (and operators)</v>
      </c>
      <c r="H83" s="18"/>
      <c r="I83" s="39"/>
      <c r="J83" s="21"/>
      <c r="K83" s="57"/>
      <c r="L83" s="58"/>
      <c r="M83" s="145">
        <f>P$79</f>
        <v>0</v>
      </c>
      <c r="N83" s="53"/>
      <c r="O83" s="108" t="str">
        <f>'Quantity Calcs'!P55</f>
        <v>kg</v>
      </c>
      <c r="P83" s="142">
        <f>RATE_TBL[[#This Row],[Variable3 - (e.g. quote or calc cost)]]</f>
        <v>0</v>
      </c>
    </row>
    <row r="84" spans="3:16" ht="48" x14ac:dyDescent="0.3">
      <c r="C84" s="54">
        <v>48</v>
      </c>
      <c r="D84" s="55"/>
      <c r="E84" s="56"/>
      <c r="F84" s="56">
        <f>'Quantity Calcs'!F56</f>
        <v>5.0999999999999996</v>
      </c>
      <c r="G84" s="18" t="str">
        <f>'Quantity Calcs'!G56</f>
        <v>Demobilization of camp</v>
      </c>
      <c r="H84" s="18" t="str">
        <f>'Quantity Calcs'!H56</f>
        <v xml:space="preserve">Assume: 
→ 2000 kg for camp
→ 1000 kg for tool and supplies
</v>
      </c>
      <c r="I84" s="39"/>
      <c r="J84" s="21"/>
      <c r="K84" s="57"/>
      <c r="L84" s="58"/>
      <c r="M84" s="145">
        <f>P$79</f>
        <v>0</v>
      </c>
      <c r="N84" s="53"/>
      <c r="O84" s="108" t="str">
        <f>'Quantity Calcs'!P56</f>
        <v>kg</v>
      </c>
      <c r="P84" s="142">
        <f>RATE_TBL[[#This Row],[Variable3 - (e.g. quote or calc cost)]]</f>
        <v>0</v>
      </c>
    </row>
    <row r="85" spans="3:16" ht="36" x14ac:dyDescent="0.3">
      <c r="C85" s="54">
        <v>49</v>
      </c>
      <c r="D85" s="55"/>
      <c r="E85" s="56"/>
      <c r="F85" s="56">
        <f>'Quantity Calcs'!F57</f>
        <v>5.1100000000000003</v>
      </c>
      <c r="G85" s="18" t="str">
        <f>'Quantity Calcs'!G57</f>
        <v>Contingency</v>
      </c>
      <c r="H85" s="22" t="str">
        <f>'Quantity Calcs'!H57</f>
        <v xml:space="preserve">Contingency cost for variability in environmental and pricing factors
</v>
      </c>
      <c r="I85" s="40"/>
      <c r="J85" s="24"/>
      <c r="K85" s="157"/>
      <c r="L85" s="58"/>
      <c r="M85" s="57"/>
      <c r="N85" s="53"/>
      <c r="O85" s="108" t="str">
        <f>'Quantity Calcs'!P57</f>
        <v>%</v>
      </c>
      <c r="P85" s="142" t="s">
        <v>57</v>
      </c>
    </row>
    <row r="86" spans="3:16" x14ac:dyDescent="0.3">
      <c r="C86" s="54">
        <v>50</v>
      </c>
      <c r="D86" s="55"/>
      <c r="E86" s="56" t="str">
        <f>'Quantity Calcs'!E58</f>
        <v>c</v>
      </c>
      <c r="F86" s="56" t="str">
        <f>'Quantity Calcs'!F58</f>
        <v>Camp for the Reclamation Work</v>
      </c>
      <c r="G86" s="18"/>
      <c r="H86" s="18"/>
      <c r="I86" s="39"/>
      <c r="J86" s="21"/>
      <c r="K86" s="57"/>
      <c r="L86" s="58"/>
      <c r="M86" s="57"/>
      <c r="N86" s="53"/>
      <c r="O86" s="108"/>
      <c r="P86" s="142"/>
    </row>
    <row r="87" spans="3:16" ht="48" x14ac:dyDescent="0.3">
      <c r="C87" s="54">
        <v>51</v>
      </c>
      <c r="D87" s="55"/>
      <c r="E87" s="56"/>
      <c r="F87" s="56">
        <f>'Quantity Calcs'!F59</f>
        <v>5.12</v>
      </c>
      <c r="G87" s="18" t="str">
        <f>'Quantity Calcs'!G59</f>
        <v xml:space="preserve">Supply of reclamation camp
* or if less than 7 calculated working days - daily mobilization and demobilization of workers
</v>
      </c>
      <c r="H87" s="18" t="str">
        <f>'Quantity Calcs'!H59</f>
        <v xml:space="preserve">Triggered based on distance of site &gt; 0 km.
</v>
      </c>
      <c r="I87" s="39"/>
      <c r="J87" s="21"/>
      <c r="K87" s="57">
        <f>'Quantity Calcs'!M60</f>
        <v>0</v>
      </c>
      <c r="L87" s="145">
        <f>P22</f>
        <v>222.5</v>
      </c>
      <c r="M87" s="142">
        <f>RATE_TBL[[#This Row],[Variable1 - (e.g. daily work production)]]*RATE_TBL[[#This Row],[Variable2 - (e.g. daily/ unit cost)
]]</f>
        <v>0</v>
      </c>
      <c r="N87" s="149"/>
      <c r="O87" s="108" t="str">
        <f>'Quantity Calcs'!P59</f>
        <v>ea</v>
      </c>
      <c r="P87" s="142">
        <f>RATE_TBL[[#This Row],[Variable3 - (e.g. quote or calc cost)]]</f>
        <v>0</v>
      </c>
    </row>
    <row r="88" spans="3:16" ht="48" x14ac:dyDescent="0.3">
      <c r="C88" s="54">
        <v>52</v>
      </c>
      <c r="D88" s="55"/>
      <c r="E88" s="56"/>
      <c r="F88" s="56">
        <f>'Quantity Calcs'!F60</f>
        <v>5.13</v>
      </c>
      <c r="G88" s="18" t="str">
        <f>'Quantity Calcs'!G60</f>
        <v>Operation of reclamation camp/ accommodations and meals</v>
      </c>
      <c r="H88" s="18" t="str">
        <f>'Quantity Calcs'!H60</f>
        <v xml:space="preserve">Work Calculation:
→ 6 person crew
</v>
      </c>
      <c r="I88" s="39"/>
      <c r="J88" s="21"/>
      <c r="K88" s="57"/>
      <c r="L88" s="58"/>
      <c r="M88" s="142">
        <f>P23</f>
        <v>75</v>
      </c>
      <c r="N88" s="53"/>
      <c r="O88" s="108" t="str">
        <f>'Quantity Calcs'!P60</f>
        <v>persondays</v>
      </c>
      <c r="P88" s="142">
        <f>RATE_TBL[[#This Row],[Variable3 - (e.g. quote or calc cost)]]</f>
        <v>75</v>
      </c>
    </row>
    <row r="89" spans="3:16" x14ac:dyDescent="0.3">
      <c r="C89" s="54">
        <v>53</v>
      </c>
      <c r="D89" s="55"/>
      <c r="E89" s="56" t="str">
        <f>'Quantity Calcs'!E61</f>
        <v>d</v>
      </c>
      <c r="F89" s="56" t="str">
        <f>'Quantity Calcs'!F61</f>
        <v>Demobilization of Abandoned Equipment and Materials (+ Heavy Equipment mobilized for the Reclamation Work, if required)</v>
      </c>
      <c r="G89" s="18"/>
      <c r="H89" s="18"/>
      <c r="I89" s="39"/>
      <c r="J89" s="21"/>
      <c r="K89" s="57"/>
      <c r="L89" s="58"/>
      <c r="M89" s="57"/>
      <c r="N89" s="53"/>
      <c r="O89" s="108"/>
      <c r="P89" s="142"/>
    </row>
    <row r="90" spans="3:16" ht="72" x14ac:dyDescent="0.3">
      <c r="C90" s="54">
        <v>54</v>
      </c>
      <c r="D90" s="55"/>
      <c r="E90" s="56"/>
      <c r="F90" s="56">
        <f>'Quantity Calcs'!F62</f>
        <v>5.14</v>
      </c>
      <c r="G90" s="18" t="str">
        <f>'Quantity Calcs'!G62</f>
        <v>Is the project an aircraft-access only mobilization?</v>
      </c>
      <c r="H90" s="18" t="str">
        <f>'Quantity Calcs'!H62</f>
        <v>Trigger for land demob costs vs. air demob costs.</v>
      </c>
      <c r="I90" s="39"/>
      <c r="J90" s="21" t="s">
        <v>190</v>
      </c>
      <c r="K90" s="59" t="b">
        <f>'Costing Questions'!G15="yes"</f>
        <v>0</v>
      </c>
      <c r="L90" s="58"/>
      <c r="M90" s="57"/>
      <c r="N90" s="53"/>
      <c r="O90" s="108" t="str">
        <f>'Quantity Calcs'!P62</f>
        <v>Y/ N Trigger</v>
      </c>
      <c r="P90" s="142" t="s">
        <v>57</v>
      </c>
    </row>
    <row r="91" spans="3:16" x14ac:dyDescent="0.3">
      <c r="C91" s="54">
        <v>55</v>
      </c>
      <c r="D91" s="55"/>
      <c r="E91" s="56"/>
      <c r="F91" s="56">
        <f>'Quantity Calcs'!F63</f>
        <v>5.15</v>
      </c>
      <c r="G91" s="18" t="str">
        <f>'Quantity Calcs'!G63</f>
        <v>Construction of winter road for demobilization</v>
      </c>
      <c r="H91" s="18"/>
      <c r="I91" s="39"/>
      <c r="J91" s="21"/>
      <c r="K91" s="57" t="b">
        <f>'Costing Questions'!G26="yes"</f>
        <v>0</v>
      </c>
      <c r="L91" s="145">
        <f>P27</f>
        <v>1000</v>
      </c>
      <c r="M91" s="142">
        <f>P29</f>
        <v>13000</v>
      </c>
      <c r="N91" s="53"/>
      <c r="O91" s="108" t="str">
        <f>'Quantity Calcs'!P63</f>
        <v>km</v>
      </c>
      <c r="P91" s="142">
        <f>IF(RATE_TBL[[#This Row],[Variable1 - (e.g. daily work production)]]=TRUE,RATE_TBL[[#This Row],[Variable2 - (e.g. daily/ unit cost)
]],RATE_TBL[[#This Row],[Variable3 - (e.g. quote or calc cost)]])</f>
        <v>13000</v>
      </c>
    </row>
    <row r="92" spans="3:16" ht="60" x14ac:dyDescent="0.3">
      <c r="C92" s="54">
        <v>56</v>
      </c>
      <c r="D92" s="55"/>
      <c r="E92" s="56"/>
      <c r="F92" s="56">
        <f>'Quantity Calcs'!F64</f>
        <v>5.16</v>
      </c>
      <c r="G92" s="18" t="str">
        <f>'Quantity Calcs'!G64</f>
        <v xml:space="preserve">Demobilization of abandoned camp&amp; equipment, debris and wastes </v>
      </c>
      <c r="H92" s="18" t="str">
        <f>'Quantity Calcs'!H64</f>
        <v xml:space="preserve">Demobilization of by winter road or aircraft:
→ Camp and equipment
→ Hazardous solid waste
→ Hazardous liquid waste
</v>
      </c>
      <c r="I92" s="39"/>
      <c r="J92" s="21" t="s">
        <v>95</v>
      </c>
      <c r="K92" s="267">
        <f>'Costing Questions'!G14</f>
        <v>0</v>
      </c>
      <c r="L92" s="158">
        <f>ROUNDUP((ROUNDUP(RATE_TBL[[#This Row],[Variable1 - (e.g. daily work production)]]/L20,1)+1)*2*K$20/M$20,2)</f>
        <v>11.56</v>
      </c>
      <c r="M92" s="158">
        <f>ROUND(P79*1000,0)</f>
        <v>0</v>
      </c>
      <c r="N92" s="159"/>
      <c r="O92" s="108" t="str">
        <f>'Quantity Calcs'!P64</f>
        <v>tonne</v>
      </c>
      <c r="P92" s="142">
        <f>IF(K90=TRUE,RATE_TBL[[#This Row],[Variable3 - (e.g. quote or calc cost)]],RATE_TBL[[#This Row],[Variable2 - (e.g. daily/ unit cost)
]])</f>
        <v>11.56</v>
      </c>
    </row>
    <row r="93" spans="3:16" ht="36" x14ac:dyDescent="0.3">
      <c r="C93" s="54">
        <v>57</v>
      </c>
      <c r="D93" s="55"/>
      <c r="E93" s="56"/>
      <c r="F93" s="56">
        <f>'Quantity Calcs'!F65</f>
        <v>5.17</v>
      </c>
      <c r="G93" s="18" t="str">
        <f>'Quantity Calcs'!G65</f>
        <v xml:space="preserve">Demobilization of heavy equipment for reclamation, if mobilized
</v>
      </c>
      <c r="H93" s="18"/>
      <c r="I93" s="39"/>
      <c r="J93" s="21"/>
      <c r="K93" s="57"/>
      <c r="L93" s="58"/>
      <c r="M93" s="142">
        <f>P$92</f>
        <v>11.56</v>
      </c>
      <c r="N93" s="53"/>
      <c r="O93" s="108" t="str">
        <f>'Quantity Calcs'!P65</f>
        <v>tonnes</v>
      </c>
      <c r="P93" s="142">
        <f>RATE_TBL[[#This Row],[Variable3 - (e.g. quote or calc cost)]]</f>
        <v>11.56</v>
      </c>
    </row>
    <row r="94" spans="3:16" x14ac:dyDescent="0.3">
      <c r="C94" s="54">
        <v>58</v>
      </c>
      <c r="D94" s="55"/>
      <c r="E94" s="56"/>
      <c r="F94" s="56">
        <f>'Quantity Calcs'!F66</f>
        <v>5.18</v>
      </c>
      <c r="G94" s="18" t="str">
        <f>'Quantity Calcs'!G66</f>
        <v>Demobilization of reclamation fuel containers</v>
      </c>
      <c r="H94" s="18"/>
      <c r="I94" s="39"/>
      <c r="J94" s="21"/>
      <c r="K94" s="57"/>
      <c r="L94" s="58"/>
      <c r="M94" s="142">
        <f>P$92</f>
        <v>11.56</v>
      </c>
      <c r="N94" s="53"/>
      <c r="O94" s="108" t="str">
        <f>'Quantity Calcs'!P66</f>
        <v>tonnes</v>
      </c>
      <c r="P94" s="142">
        <f>RATE_TBL[[#This Row],[Variable3 - (e.g. quote or calc cost)]]</f>
        <v>11.56</v>
      </c>
    </row>
    <row r="95" spans="3:16" ht="36" x14ac:dyDescent="0.3">
      <c r="C95" s="54">
        <v>59</v>
      </c>
      <c r="D95" s="55"/>
      <c r="E95" s="56"/>
      <c r="F95" s="56">
        <f>'Quantity Calcs'!F67</f>
        <v>5.19</v>
      </c>
      <c r="G95" s="18" t="str">
        <f>'Quantity Calcs'!G67</f>
        <v>Contingency</v>
      </c>
      <c r="H95" s="22" t="str">
        <f>'Quantity Calcs'!H67</f>
        <v xml:space="preserve">Contingency cost for variability in environmental and pricing factors
</v>
      </c>
      <c r="I95" s="40"/>
      <c r="J95" s="24"/>
      <c r="K95" s="157"/>
      <c r="L95" s="58"/>
      <c r="M95" s="57"/>
      <c r="N95" s="53"/>
      <c r="O95" s="108" t="str">
        <f>'Quantity Calcs'!P67</f>
        <v>%</v>
      </c>
      <c r="P95" s="142" t="s">
        <v>57</v>
      </c>
    </row>
    <row r="96" spans="3:16" x14ac:dyDescent="0.3">
      <c r="C96" s="54">
        <v>60</v>
      </c>
      <c r="D96" s="55">
        <f>'Quantity Calcs'!D68</f>
        <v>6</v>
      </c>
      <c r="E96" s="56" t="str">
        <f>'Quantity Calcs'!E68</f>
        <v>Development of Detailed Closure and Reclamation Plan (CRP)</v>
      </c>
      <c r="F96" s="56"/>
      <c r="G96" s="18"/>
      <c r="H96" s="18"/>
      <c r="I96" s="39"/>
      <c r="J96" s="21"/>
      <c r="K96" s="57"/>
      <c r="L96" s="58"/>
      <c r="M96" s="57"/>
      <c r="N96" s="53"/>
      <c r="O96" s="108"/>
      <c r="P96" s="142"/>
    </row>
    <row r="97" spans="3:16" x14ac:dyDescent="0.3">
      <c r="C97" s="54">
        <v>61</v>
      </c>
      <c r="D97" s="55"/>
      <c r="E97" s="56" t="str">
        <f>'Quantity Calcs'!E69</f>
        <v>a</v>
      </c>
      <c r="F97" s="56" t="str">
        <f>'Quantity Calcs'!F69</f>
        <v>Engagement Costs</v>
      </c>
      <c r="G97" s="18"/>
      <c r="H97" s="18"/>
      <c r="I97" s="39"/>
      <c r="J97" s="21"/>
      <c r="K97" s="57"/>
      <c r="L97" s="58"/>
      <c r="M97" s="57"/>
      <c r="N97" s="53"/>
      <c r="O97" s="108"/>
      <c r="P97" s="142"/>
    </row>
    <row r="98" spans="3:16" ht="60" x14ac:dyDescent="0.3">
      <c r="C98" s="54">
        <v>62</v>
      </c>
      <c r="D98" s="55"/>
      <c r="E98" s="56"/>
      <c r="F98" s="56">
        <f>'Quantity Calcs'!F70</f>
        <v>6.01</v>
      </c>
      <c r="G98" s="18" t="str">
        <f>'Quantity Calcs'!G70</f>
        <v>Engagement Costs</v>
      </c>
      <c r="H98" s="18" t="str">
        <f>'Quantity Calcs'!H70</f>
        <v xml:space="preserve">Triggered if a detailed Closure and Reclamation Plan is required:
→ Engagement costs if further development of a Reclamation and Closure Plan is required
</v>
      </c>
      <c r="I98" s="39"/>
      <c r="J98" s="21"/>
      <c r="K98" s="57"/>
      <c r="L98" s="58"/>
      <c r="M98" s="142">
        <f>P32</f>
        <v>15000</v>
      </c>
      <c r="N98" s="53"/>
      <c r="O98" s="108" t="str">
        <f>'Quantity Calcs'!P70</f>
        <v>cost</v>
      </c>
      <c r="P98" s="142">
        <f>RATE_TBL[[#This Row],[Variable3 - (e.g. quote or calc cost)]]</f>
        <v>15000</v>
      </c>
    </row>
    <row r="99" spans="3:16" x14ac:dyDescent="0.3">
      <c r="C99" s="54">
        <v>63</v>
      </c>
      <c r="D99" s="55"/>
      <c r="E99" s="56" t="str">
        <f>'Quantity Calcs'!E71</f>
        <v>b</v>
      </c>
      <c r="F99" s="56" t="str">
        <f>'Quantity Calcs'!F71</f>
        <v>Regulatory Compliance Costs</v>
      </c>
      <c r="G99" s="18"/>
      <c r="H99" s="18"/>
      <c r="I99" s="39"/>
      <c r="J99" s="21"/>
      <c r="K99" s="57"/>
      <c r="L99" s="58"/>
      <c r="M99" s="57"/>
      <c r="N99" s="53"/>
      <c r="O99" s="108"/>
      <c r="P99" s="142"/>
    </row>
    <row r="100" spans="3:16" ht="36" x14ac:dyDescent="0.3">
      <c r="C100" s="54">
        <v>64</v>
      </c>
      <c r="D100" s="55"/>
      <c r="E100" s="56"/>
      <c r="F100" s="56">
        <f>'Quantity Calcs'!F72</f>
        <v>6.02</v>
      </c>
      <c r="G100" s="18" t="str">
        <f>'Quantity Calcs'!G72</f>
        <v>Regulatory Compliance Costs</v>
      </c>
      <c r="H100" s="18" t="str">
        <f>'Quantity Calcs'!H72</f>
        <v>Triggered if a detailed Closure and Reclamation Plan is required:
→ Permitting and legal costs for reclamation work</v>
      </c>
      <c r="I100" s="39"/>
      <c r="J100" s="21"/>
      <c r="K100" s="57"/>
      <c r="L100" s="58"/>
      <c r="M100" s="142">
        <f>P33</f>
        <v>15000</v>
      </c>
      <c r="N100" s="53"/>
      <c r="O100" s="108" t="str">
        <f>'Quantity Calcs'!P72</f>
        <v>cost</v>
      </c>
      <c r="P100" s="142">
        <f>RATE_TBL[[#This Row],[Variable3 - (e.g. quote or calc cost)]]</f>
        <v>15000</v>
      </c>
    </row>
    <row r="101" spans="3:16" x14ac:dyDescent="0.3">
      <c r="C101" s="54">
        <v>65</v>
      </c>
      <c r="D101" s="55"/>
      <c r="E101" s="56" t="str">
        <f>'Quantity Calcs'!E73</f>
        <v>c</v>
      </c>
      <c r="F101" s="56" t="str">
        <f>'Quantity Calcs'!F73</f>
        <v>Final Closure and Reclamation Plan</v>
      </c>
      <c r="G101" s="18"/>
      <c r="H101" s="18"/>
      <c r="I101" s="39"/>
      <c r="J101" s="21"/>
      <c r="K101" s="57"/>
      <c r="L101" s="58"/>
      <c r="M101" s="57"/>
      <c r="N101" s="53"/>
      <c r="O101" s="108"/>
      <c r="P101" s="142"/>
    </row>
    <row r="102" spans="3:16" ht="24" x14ac:dyDescent="0.3">
      <c r="C102" s="54">
        <v>66</v>
      </c>
      <c r="D102" s="55"/>
      <c r="E102" s="56"/>
      <c r="F102" s="56">
        <f>'Quantity Calcs'!F74</f>
        <v>6.03</v>
      </c>
      <c r="G102" s="18" t="str">
        <f>'Quantity Calcs'!G74</f>
        <v>Final Closure and Reclamation Plan (Engineering, Research)</v>
      </c>
      <c r="H102" s="18" t="str">
        <f>'Quantity Calcs'!H74</f>
        <v>Triggered if a detailed Closure and Reclamation Plan is required.</v>
      </c>
      <c r="I102" s="39"/>
      <c r="J102" s="21"/>
      <c r="K102" s="57"/>
      <c r="L102" s="58"/>
      <c r="M102" s="142">
        <f>P34</f>
        <v>30000</v>
      </c>
      <c r="N102" s="53"/>
      <c r="O102" s="108" t="str">
        <f>'Quantity Calcs'!P74</f>
        <v>cost</v>
      </c>
      <c r="P102" s="145">
        <f>RATE_TBL[[#This Row],[Variable3 - (e.g. quote or calc cost)]]</f>
        <v>30000</v>
      </c>
    </row>
    <row r="103" spans="3:16" x14ac:dyDescent="0.3">
      <c r="C103" s="54">
        <v>67</v>
      </c>
      <c r="D103" s="55">
        <f>'Quantity Calcs'!D75</f>
        <v>7</v>
      </c>
      <c r="E103" s="56" t="str">
        <f>'Quantity Calcs'!E75</f>
        <v>Post-Closure Monitoring and Inspection</v>
      </c>
      <c r="F103" s="56"/>
      <c r="G103" s="18"/>
      <c r="H103" s="18"/>
      <c r="I103" s="39"/>
      <c r="J103" s="21"/>
      <c r="K103" s="57"/>
      <c r="L103" s="58"/>
      <c r="M103" s="57"/>
      <c r="N103" s="53"/>
      <c r="O103" s="108"/>
      <c r="P103" s="142"/>
    </row>
    <row r="104" spans="3:16" ht="24" x14ac:dyDescent="0.3">
      <c r="C104" s="54">
        <v>68</v>
      </c>
      <c r="D104" s="55"/>
      <c r="E104" s="56"/>
      <c r="F104" s="56">
        <f>'Quantity Calcs'!F76</f>
        <v>7.01</v>
      </c>
      <c r="G104" s="18" t="str">
        <f>'Quantity Calcs'!G76</f>
        <v>Monitoring and inspection</v>
      </c>
      <c r="H104" s="18"/>
      <c r="I104" s="39"/>
      <c r="J104" s="21"/>
      <c r="K104" s="57"/>
      <c r="L104" s="58"/>
      <c r="M104" s="57" t="str">
        <f>P35</f>
        <v>Develop Work Specific Cost</v>
      </c>
      <c r="N104" s="53"/>
      <c r="O104" s="108" t="str">
        <f>'Quantity Calcs'!P76</f>
        <v>cost</v>
      </c>
      <c r="P104" s="142" t="str">
        <f>RATE_TBL[[#This Row],[Variable3 - (e.g. quote or calc cost)]]</f>
        <v>Develop Work Specific Cost</v>
      </c>
    </row>
    <row r="105" spans="3:16" x14ac:dyDescent="0.3">
      <c r="C105" s="54">
        <v>69</v>
      </c>
      <c r="D105" s="55">
        <f>'Quantity Calcs'!D77</f>
        <v>8</v>
      </c>
      <c r="E105" s="56" t="str">
        <f>'Quantity Calcs'!E77</f>
        <v>Project Management</v>
      </c>
      <c r="F105" s="56"/>
      <c r="G105" s="18"/>
      <c r="H105" s="18"/>
      <c r="I105" s="39"/>
      <c r="J105" s="21"/>
      <c r="K105" s="57"/>
      <c r="L105" s="58"/>
      <c r="M105" s="57"/>
      <c r="N105" s="53"/>
      <c r="O105" s="108"/>
      <c r="P105" s="142"/>
    </row>
    <row r="106" spans="3:16" ht="36" x14ac:dyDescent="0.3">
      <c r="C106" s="54">
        <v>70</v>
      </c>
      <c r="D106" s="55"/>
      <c r="E106" s="56"/>
      <c r="F106" s="56">
        <f>'Quantity Calcs'!F78</f>
        <v>8.01</v>
      </c>
      <c r="G106" s="18" t="str">
        <f>'Quantity Calcs'!G78</f>
        <v xml:space="preserve">Project management for the  reclamation and closure work
</v>
      </c>
      <c r="H106" s="18" t="str">
        <f>'Quantity Calcs'!H78</f>
        <v>Project management costs range from 5% to 10% of the Direct costs.</v>
      </c>
      <c r="I106" s="39"/>
      <c r="J106" s="21"/>
      <c r="K106" s="57"/>
      <c r="L106" s="160"/>
      <c r="M106" s="57"/>
      <c r="N106" s="53"/>
      <c r="O106" s="108" t="str">
        <f>'Quantity Calcs'!P78</f>
        <v xml:space="preserve"> </v>
      </c>
      <c r="P106" s="145" t="s">
        <v>57</v>
      </c>
    </row>
    <row r="107" spans="3:16" x14ac:dyDescent="0.3">
      <c r="C107" s="54">
        <v>71</v>
      </c>
      <c r="D107" s="55">
        <f>'Quantity Calcs'!D79</f>
        <v>9</v>
      </c>
      <c r="E107" s="56" t="str">
        <f>'Quantity Calcs'!E79</f>
        <v>Health and Safety Plans/ Monitoring &amp; QA/QC</v>
      </c>
      <c r="F107" s="56"/>
      <c r="G107" s="18"/>
      <c r="H107" s="18"/>
      <c r="I107" s="39"/>
      <c r="J107" s="21"/>
      <c r="K107" s="57"/>
      <c r="L107" s="58"/>
      <c r="M107" s="57"/>
      <c r="N107" s="53"/>
      <c r="O107" s="108"/>
      <c r="P107" s="142"/>
    </row>
    <row r="108" spans="3:16" ht="36" x14ac:dyDescent="0.3">
      <c r="C108" s="54">
        <v>72</v>
      </c>
      <c r="D108" s="55"/>
      <c r="E108" s="56"/>
      <c r="F108" s="56">
        <f>'Quantity Calcs'!F80</f>
        <v>9.01</v>
      </c>
      <c r="G108" s="18" t="str">
        <f>'Quantity Calcs'!G80</f>
        <v xml:space="preserve">Health and safety &amp; QA/QC for the reclamation work
</v>
      </c>
      <c r="H108" s="18" t="str">
        <f>'Quantity Calcs'!H80</f>
        <v>Health and safety &amp; QA/QC range from 1% to 3% of the Direct costs.</v>
      </c>
      <c r="I108" s="39"/>
      <c r="J108" s="21"/>
      <c r="K108" s="57"/>
      <c r="L108" s="160"/>
      <c r="M108" s="57"/>
      <c r="N108" s="53"/>
      <c r="O108" s="108" t="str">
        <f>'Quantity Calcs'!P80</f>
        <v xml:space="preserve"> </v>
      </c>
      <c r="P108" s="145" t="s">
        <v>57</v>
      </c>
    </row>
    <row r="109" spans="3:16" x14ac:dyDescent="0.3">
      <c r="C109" s="54">
        <v>73</v>
      </c>
      <c r="D109" s="55">
        <f>'Quantity Calcs'!D81</f>
        <v>10</v>
      </c>
      <c r="E109" s="56" t="str">
        <f>'Quantity Calcs'!E81</f>
        <v>Bonding/ Insurance</v>
      </c>
      <c r="F109" s="56"/>
      <c r="G109" s="18"/>
      <c r="H109" s="18"/>
      <c r="I109" s="39"/>
      <c r="J109" s="21"/>
      <c r="K109" s="57"/>
      <c r="L109" s="58"/>
      <c r="M109" s="57"/>
      <c r="N109" s="53"/>
      <c r="O109" s="108"/>
      <c r="P109" s="142"/>
    </row>
    <row r="110" spans="3:16" ht="108" x14ac:dyDescent="0.3">
      <c r="C110" s="54">
        <v>74</v>
      </c>
      <c r="D110" s="55"/>
      <c r="E110" s="56"/>
      <c r="F110" s="56">
        <f>'Quantity Calcs'!F82</f>
        <v>10.01</v>
      </c>
      <c r="G110" s="18" t="str">
        <f>'Quantity Calcs'!G82</f>
        <v>Bonding percentage</v>
      </c>
      <c r="H110" s="18" t="str">
        <f>'Quantity Calcs'!H82</f>
        <v xml:space="preserve">Pursuant to section 85.1 of the Construction Act and section 12 of the accompanying general regulation, all “public contracts” with a contract price of $500,000 or more require the contractor to furnish both a performance bond and a labour and materials bond that, in each case, must be in the prescribed forms and have coverage limits of at least 50% per cent of the contract price.
</v>
      </c>
      <c r="I110" s="39"/>
      <c r="J110" s="21"/>
      <c r="K110" s="157"/>
      <c r="L110" s="58"/>
      <c r="M110" s="57"/>
      <c r="N110" s="53"/>
      <c r="O110" s="108" t="str">
        <f>'Quantity Calcs'!P82</f>
        <v xml:space="preserve"> </v>
      </c>
      <c r="P110" s="145" t="s">
        <v>57</v>
      </c>
    </row>
    <row r="111" spans="3:16" x14ac:dyDescent="0.3">
      <c r="C111" s="54">
        <v>75</v>
      </c>
      <c r="D111" s="55">
        <f>'Quantity Calcs'!D83</f>
        <v>11</v>
      </c>
      <c r="E111" s="56" t="str">
        <f>'Quantity Calcs'!E83</f>
        <v>Contingency (e.g. quantity/ cost contingencies)</v>
      </c>
      <c r="F111" s="56"/>
      <c r="G111" s="18"/>
      <c r="H111" s="18"/>
      <c r="I111" s="39"/>
      <c r="J111" s="21"/>
      <c r="K111" s="57"/>
      <c r="L111" s="58"/>
      <c r="M111" s="57"/>
      <c r="N111" s="53"/>
      <c r="O111" s="108"/>
      <c r="P111" s="142"/>
    </row>
    <row r="112" spans="3:16" ht="84" x14ac:dyDescent="0.3">
      <c r="C112" s="54">
        <v>76</v>
      </c>
      <c r="D112" s="55"/>
      <c r="E112" s="56"/>
      <c r="F112" s="56">
        <f>'Quantity Calcs'!F84</f>
        <v>11.01</v>
      </c>
      <c r="G112" s="18" t="str">
        <f>'Quantity Calcs'!G84</f>
        <v>Contingency for the reclamation work</v>
      </c>
      <c r="H112" s="18" t="str">
        <f>'Quantity Calcs'!H84</f>
        <v xml:space="preserve">Contingency assigned to account for uncertainties linked to the various components of the final reclamation:
→ 15% represents a high uncertainty of the final cleanup plan but an expected low technical execution requirement
</v>
      </c>
      <c r="I112" s="39"/>
      <c r="J112" s="21"/>
      <c r="K112" s="57"/>
      <c r="L112" s="160"/>
      <c r="M112" s="57"/>
      <c r="N112" s="53"/>
      <c r="O112" s="108" t="str">
        <f>'Quantity Calcs'!P84</f>
        <v xml:space="preserve"> </v>
      </c>
      <c r="P112" s="145" t="s">
        <v>57</v>
      </c>
    </row>
    <row r="113" spans="3:16" x14ac:dyDescent="0.3">
      <c r="C113" s="54">
        <v>77</v>
      </c>
      <c r="D113" s="55">
        <f>'Quantity Calcs'!D85</f>
        <v>12</v>
      </c>
      <c r="E113" s="56" t="str">
        <f>'Quantity Calcs'!E85</f>
        <v>Other Project Specific Costs</v>
      </c>
      <c r="F113" s="56"/>
      <c r="G113" s="18"/>
      <c r="H113" s="18"/>
      <c r="I113" s="39"/>
      <c r="J113" s="21"/>
      <c r="K113" s="57"/>
      <c r="L113" s="58"/>
      <c r="M113" s="57"/>
      <c r="N113" s="53"/>
      <c r="O113" s="108"/>
      <c r="P113" s="142"/>
    </row>
    <row r="114" spans="3:16" ht="24" x14ac:dyDescent="0.3">
      <c r="C114" s="54">
        <v>78</v>
      </c>
      <c r="D114" s="55"/>
      <c r="E114" s="56"/>
      <c r="F114" s="56">
        <f>'Quantity Calcs'!F86</f>
        <v>12.01</v>
      </c>
      <c r="G114" s="18" t="str">
        <f>'Quantity Calcs'!G86</f>
        <v>Other costs not already included in the Tool</v>
      </c>
      <c r="H114" s="18"/>
      <c r="I114" s="39"/>
      <c r="J114" s="21"/>
      <c r="K114" s="57"/>
      <c r="L114" s="160"/>
      <c r="M114" s="57" t="str">
        <f>P36</f>
        <v>Develop Work Specific Cost</v>
      </c>
      <c r="N114" s="53"/>
      <c r="O114" s="108" t="str">
        <f>'Quantity Calcs'!P86</f>
        <v>cost</v>
      </c>
      <c r="P114" s="142" t="str">
        <f>RATE_TBL[[#This Row],[Variable3 - (e.g. quote or calc cost)]]</f>
        <v>Develop Work Specific Cost</v>
      </c>
    </row>
    <row r="115" spans="3:16" x14ac:dyDescent="0.3">
      <c r="C115" s="46">
        <v>79</v>
      </c>
      <c r="D115" s="47" t="s">
        <v>94</v>
      </c>
      <c r="E115" s="48"/>
      <c r="F115" s="48"/>
      <c r="G115" s="21"/>
      <c r="H115" s="21"/>
      <c r="I115" s="39"/>
      <c r="J115" s="21"/>
      <c r="K115" s="52"/>
      <c r="L115" s="51"/>
      <c r="M115" s="52"/>
      <c r="N115" s="53"/>
      <c r="O115" s="141"/>
      <c r="P115" s="161"/>
    </row>
  </sheetData>
  <sheetProtection sheet="1" objects="1" scenarios="1"/>
  <phoneticPr fontId="8" type="noConversion"/>
  <conditionalFormatting sqref="C8:H115 O8:P115 J8:M115">
    <cfRule type="expression" dxfId="32" priority="1">
      <formula>NOT(ISBLANK($G8))</formula>
    </cfRule>
    <cfRule type="expression" dxfId="31" priority="2">
      <formula>ISNUMBER($D8)</formula>
    </cfRule>
    <cfRule type="expression" dxfId="30" priority="3">
      <formula>AND(ISBLANK($D8),ISTEXT($E8))</formula>
    </cfRule>
  </conditionalFormatting>
  <pageMargins left="0.51181102362204722" right="0.51181102362204722" top="0.74803149606299213" bottom="0.55118110236220474" header="0.31496062992125984" footer="0.31496062992125984"/>
  <pageSetup scale="74" fitToHeight="12" orientation="landscape" horizontalDpi="1200" verticalDpi="1200" r:id="rId1"/>
  <headerFooter>
    <oddHeader>&amp;R&amp;K00-027Mackenzie Valley Land-Use Security Estimate Tool</oddHeader>
    <oddFooter>&amp;C&amp;K00-033BCL/ DXB&amp;R&amp;K00-033Page &amp;P of &amp;N</oddFooter>
  </headerFooter>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0BC4C-7E53-45B2-8377-CA30B6AD80AE}">
  <sheetPr codeName="Sheet7">
    <tabColor theme="0" tint="-0.499984740745262"/>
    <pageSetUpPr fitToPage="1"/>
  </sheetPr>
  <dimension ref="A1:F6"/>
  <sheetViews>
    <sheetView workbookViewId="0">
      <pane ySplit="3" topLeftCell="A4" activePane="bottomLeft" state="frozen"/>
      <selection pane="bottomLeft" activeCell="G9" sqref="G9"/>
    </sheetView>
  </sheetViews>
  <sheetFormatPr defaultColWidth="8.77734375" defaultRowHeight="18" x14ac:dyDescent="0.3"/>
  <cols>
    <col min="1" max="1" width="1.6640625" style="8" customWidth="1"/>
    <col min="2" max="2" width="3.6640625" style="32" customWidth="1"/>
    <col min="3" max="3" width="6.6640625" style="4" customWidth="1"/>
    <col min="4" max="4" width="36.6640625" style="9" customWidth="1"/>
    <col min="5" max="5" width="18.6640625" style="10" customWidth="1"/>
    <col min="6" max="6" width="36.6640625" style="5" customWidth="1"/>
    <col min="7" max="16384" width="8.77734375" style="9"/>
  </cols>
  <sheetData>
    <row r="1" spans="1:6" x14ac:dyDescent="0.3">
      <c r="A1" s="8" t="str">
        <f>'Costing Questions'!A1</f>
        <v>Security Estimate Tool - DRAFT 3 - Blank</v>
      </c>
    </row>
    <row r="2" spans="1:6" customFormat="1" x14ac:dyDescent="0.3">
      <c r="A2" s="8"/>
      <c r="B2" s="32"/>
      <c r="C2" s="4"/>
      <c r="D2" s="9"/>
      <c r="E2" s="10"/>
      <c r="F2" s="5"/>
    </row>
    <row r="3" spans="1:6" customFormat="1" ht="36" x14ac:dyDescent="0.3">
      <c r="A3" s="11"/>
      <c r="B3" s="33"/>
      <c r="C3" s="14" t="s">
        <v>10</v>
      </c>
      <c r="D3" s="162" t="s">
        <v>6</v>
      </c>
      <c r="E3" s="168" t="s">
        <v>4</v>
      </c>
      <c r="F3" s="14" t="s">
        <v>2</v>
      </c>
    </row>
    <row r="4" spans="1:6" customFormat="1" x14ac:dyDescent="0.3">
      <c r="A4" s="8"/>
      <c r="B4" s="32"/>
      <c r="C4" s="180">
        <v>1</v>
      </c>
      <c r="D4" s="19" t="s">
        <v>136</v>
      </c>
      <c r="E4" s="169">
        <v>44018</v>
      </c>
      <c r="F4" s="19" t="s">
        <v>97</v>
      </c>
    </row>
    <row r="5" spans="1:6" customFormat="1" x14ac:dyDescent="0.3">
      <c r="A5" s="8"/>
      <c r="B5" s="32"/>
      <c r="C5" s="181">
        <v>2</v>
      </c>
      <c r="D5" s="15" t="s">
        <v>137</v>
      </c>
      <c r="E5" s="170">
        <v>44050</v>
      </c>
      <c r="F5" s="15" t="s">
        <v>138</v>
      </c>
    </row>
    <row r="6" spans="1:6" x14ac:dyDescent="0.3">
      <c r="C6" s="181">
        <v>3</v>
      </c>
      <c r="D6" s="15" t="s">
        <v>275</v>
      </c>
      <c r="E6" s="170">
        <v>44088</v>
      </c>
      <c r="F6" s="15"/>
    </row>
  </sheetData>
  <pageMargins left="0.51181102362204722" right="0.51181102362204722" top="0.74803149606299213" bottom="0.55118110236220474" header="0.31496062992125984" footer="0.31496062992125984"/>
  <pageSetup fitToHeight="12" orientation="portrait" horizontalDpi="1200" verticalDpi="1200" r:id="rId1"/>
  <headerFooter>
    <oddHeader>&amp;R&amp;K00-028Mackenzie Valley Land-Use Security Estimate Tool</oddHeader>
    <oddFooter>&amp;C&amp;K00-033BCL/ DXB&amp;R&amp;K00-033Page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488E1-E0E6-44CE-9916-2D79C8C7A248}">
  <sheetPr codeName="Sheet8">
    <tabColor theme="0" tint="-0.499984740745262"/>
    <pageSetUpPr fitToPage="1"/>
  </sheetPr>
  <dimension ref="A1:H12"/>
  <sheetViews>
    <sheetView workbookViewId="0">
      <pane ySplit="3" topLeftCell="A4" activePane="bottomLeft" state="frozen"/>
      <selection pane="bottomLeft" activeCell="C4" sqref="C4"/>
    </sheetView>
  </sheetViews>
  <sheetFormatPr defaultColWidth="8.77734375" defaultRowHeight="18" x14ac:dyDescent="0.3"/>
  <cols>
    <col min="1" max="1" width="1.6640625" style="8" customWidth="1"/>
    <col min="2" max="2" width="3.6640625" style="32" customWidth="1"/>
    <col min="3" max="4" width="6.6640625" style="4" customWidth="1"/>
    <col min="5" max="5" width="6.6640625" style="9" customWidth="1"/>
    <col min="6" max="6" width="24.6640625" style="9" customWidth="1"/>
    <col min="7" max="7" width="14.6640625" style="5" customWidth="1"/>
    <col min="8" max="8" width="36.6640625" style="9" customWidth="1"/>
    <col min="9" max="16384" width="8.77734375" style="9"/>
  </cols>
  <sheetData>
    <row r="1" spans="1:8" x14ac:dyDescent="0.3">
      <c r="A1" s="8" t="str">
        <f>'Costing Questions'!A1</f>
        <v>Security Estimate Tool - DRAFT 3 - Blank</v>
      </c>
    </row>
    <row r="3" spans="1:8" s="12" customFormat="1" ht="36" x14ac:dyDescent="0.3">
      <c r="A3" s="11"/>
      <c r="B3" s="33"/>
      <c r="C3" s="14" t="s">
        <v>10</v>
      </c>
      <c r="D3" s="14" t="s">
        <v>144</v>
      </c>
      <c r="E3" s="14" t="s">
        <v>146</v>
      </c>
      <c r="F3" s="14" t="s">
        <v>30</v>
      </c>
      <c r="G3" s="14" t="s">
        <v>98</v>
      </c>
      <c r="H3" s="14" t="s">
        <v>7</v>
      </c>
    </row>
    <row r="4" spans="1:8" x14ac:dyDescent="0.3">
      <c r="C4" s="180">
        <v>1</v>
      </c>
      <c r="D4" s="163">
        <v>1</v>
      </c>
      <c r="E4" s="164" t="s">
        <v>1</v>
      </c>
      <c r="F4" s="19"/>
      <c r="G4" s="128"/>
      <c r="H4" s="127"/>
    </row>
    <row r="5" spans="1:8" x14ac:dyDescent="0.3">
      <c r="C5" s="180">
        <v>2</v>
      </c>
      <c r="D5" s="163"/>
      <c r="E5" s="164">
        <v>1.01</v>
      </c>
      <c r="F5" s="19" t="s">
        <v>56</v>
      </c>
      <c r="G5" s="128"/>
      <c r="H5" s="127"/>
    </row>
    <row r="6" spans="1:8" x14ac:dyDescent="0.3">
      <c r="C6" s="180">
        <v>3</v>
      </c>
      <c r="D6" s="163"/>
      <c r="E6" s="164"/>
      <c r="F6" s="19"/>
      <c r="G6" s="165" t="s">
        <v>23</v>
      </c>
      <c r="H6" s="127"/>
    </row>
    <row r="7" spans="1:8" x14ac:dyDescent="0.3">
      <c r="C7" s="180">
        <v>4</v>
      </c>
      <c r="D7" s="163"/>
      <c r="E7" s="164"/>
      <c r="F7" s="19"/>
      <c r="G7" s="165" t="s">
        <v>24</v>
      </c>
      <c r="H7" s="127"/>
    </row>
    <row r="8" spans="1:8" x14ac:dyDescent="0.3">
      <c r="C8" s="180">
        <v>5</v>
      </c>
      <c r="D8" s="163">
        <v>2</v>
      </c>
      <c r="E8" s="164" t="s">
        <v>5</v>
      </c>
      <c r="F8" s="19"/>
      <c r="G8" s="128"/>
      <c r="H8" s="127"/>
    </row>
    <row r="9" spans="1:8" x14ac:dyDescent="0.3">
      <c r="C9" s="180">
        <v>6</v>
      </c>
      <c r="D9" s="163"/>
      <c r="E9" s="164">
        <v>2.0099999999999998</v>
      </c>
      <c r="F9" s="19" t="s">
        <v>139</v>
      </c>
      <c r="G9" s="166">
        <v>2020</v>
      </c>
      <c r="H9" s="35" t="s">
        <v>140</v>
      </c>
    </row>
    <row r="10" spans="1:8" ht="60" x14ac:dyDescent="0.3">
      <c r="C10" s="180">
        <v>7</v>
      </c>
      <c r="D10" s="163"/>
      <c r="E10" s="164">
        <v>2.02</v>
      </c>
      <c r="F10" s="19" t="s">
        <v>272</v>
      </c>
      <c r="G10" s="166">
        <v>139.1</v>
      </c>
      <c r="H10" s="199" t="s">
        <v>274</v>
      </c>
    </row>
    <row r="11" spans="1:8" ht="60" x14ac:dyDescent="0.3">
      <c r="C11" s="180">
        <v>8</v>
      </c>
      <c r="D11" s="163"/>
      <c r="E11" s="164">
        <v>2.0299999999999998</v>
      </c>
      <c r="F11" s="19" t="s">
        <v>273</v>
      </c>
      <c r="G11" s="166">
        <v>138.80000000000001</v>
      </c>
      <c r="H11" s="199" t="s">
        <v>271</v>
      </c>
    </row>
    <row r="12" spans="1:8" ht="24" x14ac:dyDescent="0.3">
      <c r="C12" s="180">
        <v>9</v>
      </c>
      <c r="D12" s="163"/>
      <c r="E12" s="164">
        <v>2.04</v>
      </c>
      <c r="F12" s="19" t="s">
        <v>8</v>
      </c>
      <c r="G12" s="167" t="s">
        <v>57</v>
      </c>
      <c r="H12" s="19" t="s">
        <v>9</v>
      </c>
    </row>
  </sheetData>
  <hyperlinks>
    <hyperlink ref="H11" r:id="rId1" xr:uid="{0A15CC31-5541-4112-AB50-0463BF0AFB37}"/>
    <hyperlink ref="H10" r:id="rId2" xr:uid="{B459C7FE-3207-48C0-8A22-DCFC490417B4}"/>
  </hyperlinks>
  <pageMargins left="0.51181102362204722" right="0.51181102362204722" top="0.74803149606299213" bottom="0.55118110236220474" header="0.31496062992125984" footer="0.31496062992125984"/>
  <pageSetup orientation="portrait" horizontalDpi="1200" verticalDpi="1200" r:id="rId3"/>
  <headerFooter>
    <oddHeader>&amp;R&amp;K00-028Mackenzie Valley Land-Use Security Estimate Tool</oddHeader>
    <oddFooter>&amp;C&amp;K00-033BCL/ DXB&amp;R&amp;K00-033Page &amp;P of &amp;N</oddFooter>
  </headerFooter>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4E13A1328FA5E419C326E46BC5F49F3" ma:contentTypeVersion="4" ma:contentTypeDescription="Create a new document." ma:contentTypeScope="" ma:versionID="f69bdddffbf750362d406e9c1a4d8735">
  <xsd:schema xmlns:xsd="http://www.w3.org/2001/XMLSchema" xmlns:xs="http://www.w3.org/2001/XMLSchema" xmlns:p="http://schemas.microsoft.com/office/2006/metadata/properties" xmlns:ns2="67d74a08-da6c-4518-b3dd-c08fa5070b71" targetNamespace="http://schemas.microsoft.com/office/2006/metadata/properties" ma:root="true" ma:fieldsID="710827b9eb06a0930cefed5216da29ea" ns2:_="">
    <xsd:import namespace="67d74a08-da6c-4518-b3dd-c08fa5070b7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74a08-da6c-4518-b3dd-c08fa5070b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33CF86-44C6-49C5-A062-B70B44B7A905}">
  <ds:schemaRefs>
    <ds:schemaRef ds:uri="http://schemas.microsoft.com/office/2006/documentManagement/types"/>
    <ds:schemaRef ds:uri="67d74a08-da6c-4518-b3dd-c08fa5070b71"/>
    <ds:schemaRef ds:uri="http://purl.org/dc/elements/1.1/"/>
    <ds:schemaRef ds:uri="http://schemas.microsoft.com/office/2006/metadata/properties"/>
    <ds:schemaRef ds:uri="http://purl.org/dc/term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30BCDCB0-8CD2-4485-B8C5-875FBB0CEF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d74a08-da6c-4518-b3dd-c08fa5070b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8E9923-DA3F-4FD0-81DD-5B65008750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Costing Questions</vt:lpstr>
      <vt:lpstr>Project Specific Questions</vt:lpstr>
      <vt:lpstr>Security Estimate Calcs</vt:lpstr>
      <vt:lpstr>Quantity Calcs</vt:lpstr>
      <vt:lpstr>Unit Rate Calcs</vt:lpstr>
      <vt:lpstr>SYS_ Change Log</vt:lpstr>
      <vt:lpstr>SYS_ Gen</vt:lpstr>
      <vt:lpstr>'Security Estimate Calcs'!_ftnref1</vt:lpstr>
      <vt:lpstr>'Costing Questions'!Print_Area</vt:lpstr>
      <vt:lpstr>'Quantity Calcs'!Print_Area</vt:lpstr>
      <vt:lpstr>'Security Estimate Calcs'!Print_Area</vt:lpstr>
      <vt:lpstr>'Costing Questions'!Print_Titles</vt:lpstr>
      <vt:lpstr>'Project Specific Questions'!Print_Titles</vt:lpstr>
      <vt:lpstr>'Quantity Calcs'!Print_Titles</vt:lpstr>
      <vt:lpstr>'Security Estimate Calcs'!Print_Titles</vt:lpstr>
      <vt:lpstr>'Unit Rate Calcs'!Print_Titles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Wong</dc:creator>
  <cp:lastModifiedBy>Com Officer</cp:lastModifiedBy>
  <cp:lastPrinted>2020-09-30T21:18:05Z</cp:lastPrinted>
  <dcterms:created xsi:type="dcterms:W3CDTF">2017-02-20T20:00:34Z</dcterms:created>
  <dcterms:modified xsi:type="dcterms:W3CDTF">2020-10-01T16:51:50Z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0x01010014E13A1328FA5E419C326E46BC5F49F3</vt:lpwstr>
  </property>
</Properties>
</file>